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8A6616AD-D466-4356-BEF6-5E278D6631B4}" xr6:coauthVersionLast="47" xr6:coauthVersionMax="47" xr10:uidLastSave="{00000000-0000-0000-0000-000000000000}"/>
  <bookViews>
    <workbookView xWindow="-120" yWindow="-120" windowWidth="29040" windowHeight="1572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Bias LPF" sheetId="33" r:id="rId15"/>
    <sheet name="Inv+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42" i="25" l="1"/>
  <c r="D41" i="25"/>
  <c r="D40" i="25"/>
  <c r="D39" i="25"/>
  <c r="D38" i="25"/>
  <c r="D37" i="25"/>
  <c r="D36" i="25"/>
  <c r="D35" i="25"/>
  <c r="D34" i="25"/>
  <c r="D33" i="25"/>
  <c r="D32" i="25"/>
  <c r="D31" i="25"/>
  <c r="D30" i="25"/>
  <c r="D29" i="25"/>
  <c r="D28" i="25"/>
  <c r="D27" i="25"/>
  <c r="D26" i="25"/>
  <c r="D25" i="25"/>
  <c r="D24" i="25"/>
  <c r="D23" i="25"/>
  <c r="D22" i="25"/>
  <c r="D21" i="25"/>
  <c r="D20" i="25"/>
  <c r="D19" i="25"/>
  <c r="D18" i="25"/>
  <c r="D17" i="25"/>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C14" i="47" l="1"/>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C90" i="47" l="1"/>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E47" i="28"/>
  <c r="E48" i="28"/>
  <c r="E49" i="28"/>
  <c r="E50" i="28"/>
  <c r="E51" i="28"/>
  <c r="E52" i="28"/>
  <c r="E53" i="28"/>
  <c r="E54" i="28"/>
  <c r="E55" i="28"/>
  <c r="E56" i="28"/>
  <c r="E57" i="28"/>
  <c r="E58" i="28"/>
  <c r="E59" i="28"/>
  <c r="E60" i="28"/>
  <c r="E61" i="28"/>
  <c r="E62" i="28"/>
  <c r="E63" i="28"/>
  <c r="E64" i="28"/>
  <c r="E65" i="28"/>
  <c r="E66" i="28"/>
  <c r="E67" i="28"/>
  <c r="E68" i="28"/>
  <c r="E69" i="28"/>
  <c r="E70" i="28"/>
  <c r="E71" i="28"/>
  <c r="E72" i="28"/>
  <c r="E73" i="28"/>
  <c r="E74" i="28"/>
  <c r="E75" i="28"/>
  <c r="E76" i="28"/>
  <c r="E77" i="28"/>
  <c r="E78" i="28"/>
  <c r="E79" i="28"/>
  <c r="E80" i="28"/>
  <c r="E81" i="28"/>
  <c r="E82" i="28"/>
  <c r="E83" i="28"/>
  <c r="E84" i="28"/>
  <c r="E85" i="28"/>
  <c r="E86" i="28"/>
  <c r="E87" i="28"/>
  <c r="E88" i="28"/>
  <c r="E89" i="28"/>
  <c r="E90" i="28"/>
  <c r="E91" i="28"/>
  <c r="E92" i="28"/>
  <c r="E93" i="28"/>
  <c r="E94" i="28"/>
  <c r="E95" i="28"/>
  <c r="E96" i="28"/>
  <c r="E97" i="28"/>
  <c r="E98" i="28"/>
  <c r="E99" i="28"/>
  <c r="E100" i="28"/>
  <c r="E46" i="28"/>
  <c r="C47" i="28"/>
  <c r="C48" i="28"/>
  <c r="C49" i="28"/>
  <c r="C50" i="28"/>
  <c r="C51" i="28"/>
  <c r="C52" i="28"/>
  <c r="C53" i="28"/>
  <c r="C54" i="28"/>
  <c r="C55" i="28"/>
  <c r="C56" i="28"/>
  <c r="C57" i="28"/>
  <c r="C58" i="28"/>
  <c r="C59" i="28"/>
  <c r="C60" i="28"/>
  <c r="C61" i="28"/>
  <c r="C62" i="28"/>
  <c r="C63" i="28"/>
  <c r="C64" i="28"/>
  <c r="C65" i="28"/>
  <c r="C66" i="28"/>
  <c r="C67" i="28"/>
  <c r="C68" i="28"/>
  <c r="C69" i="28"/>
  <c r="C70" i="28"/>
  <c r="C71" i="28"/>
  <c r="C72" i="28"/>
  <c r="C73" i="28"/>
  <c r="C74" i="28"/>
  <c r="C75" i="28"/>
  <c r="C76" i="28"/>
  <c r="C77" i="28"/>
  <c r="C78" i="28"/>
  <c r="C79" i="28"/>
  <c r="C80" i="28"/>
  <c r="C81" i="28"/>
  <c r="C82" i="28"/>
  <c r="C83" i="28"/>
  <c r="C84" i="28"/>
  <c r="C85" i="28"/>
  <c r="C86" i="28"/>
  <c r="C87" i="28"/>
  <c r="C88" i="28"/>
  <c r="C89" i="28"/>
  <c r="C90" i="28"/>
  <c r="C91" i="28"/>
  <c r="C92" i="28"/>
  <c r="C93" i="28"/>
  <c r="C94" i="28"/>
  <c r="C95" i="28"/>
  <c r="C96" i="28"/>
  <c r="C97" i="28"/>
  <c r="C98" i="28"/>
  <c r="C99" i="28"/>
  <c r="C100" i="28"/>
  <c r="C46" i="28"/>
  <c r="D17" i="28"/>
  <c r="D18" i="28"/>
  <c r="D19" i="28"/>
  <c r="D20" i="28"/>
  <c r="D21" i="28"/>
  <c r="D22" i="28"/>
  <c r="D23" i="28"/>
  <c r="D24" i="28"/>
  <c r="D25" i="28"/>
  <c r="D26" i="28"/>
  <c r="D27" i="28"/>
  <c r="D28" i="28"/>
  <c r="D29" i="28"/>
  <c r="D30" i="28"/>
  <c r="D31" i="28"/>
  <c r="D32" i="28"/>
  <c r="D33" i="28"/>
  <c r="D34" i="28"/>
  <c r="D35" i="28"/>
  <c r="D36" i="28"/>
  <c r="D37" i="28"/>
  <c r="D38" i="28"/>
  <c r="D39" i="28"/>
  <c r="D40" i="28"/>
  <c r="D41" i="28"/>
  <c r="D16" i="28"/>
  <c r="F17" i="28"/>
  <c r="F18" i="28"/>
  <c r="F19" i="28"/>
  <c r="F20" i="28"/>
  <c r="F21" i="28"/>
  <c r="F22" i="28"/>
  <c r="F23" i="28"/>
  <c r="F24" i="28"/>
  <c r="F25" i="28"/>
  <c r="F26" i="28"/>
  <c r="F27" i="28"/>
  <c r="F28" i="28"/>
  <c r="F29" i="28"/>
  <c r="F30" i="28"/>
  <c r="F31" i="28"/>
  <c r="F32" i="28"/>
  <c r="F33" i="28"/>
  <c r="F34" i="28"/>
  <c r="F35" i="28"/>
  <c r="F36" i="28"/>
  <c r="F37" i="28"/>
  <c r="F38" i="28"/>
  <c r="F39" i="28"/>
  <c r="F40" i="28"/>
  <c r="F41" i="28"/>
  <c r="F16" i="28"/>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C49" i="27" l="1"/>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10" i="26"/>
  <c r="C5" i="26" s="1"/>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C13" i="28" s="1"/>
  <c r="B17" i="28" s="1"/>
  <c r="B18" i="28" s="1"/>
  <c r="E16"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I10" i="33" l="1"/>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D19" i="30" l="1"/>
  <c r="F19" i="30"/>
  <c r="E19" i="27"/>
  <c r="D17" i="26"/>
  <c r="E17" i="26" s="1"/>
  <c r="F17" i="26"/>
  <c r="B19" i="26"/>
  <c r="C18" i="26"/>
  <c r="D21" i="33"/>
  <c r="F21" i="33"/>
  <c r="D20" i="33"/>
  <c r="F20" i="33"/>
  <c r="E18" i="28"/>
  <c r="E17" i="28"/>
  <c r="E20" i="25"/>
  <c r="E19" i="25"/>
  <c r="E18" i="25"/>
  <c r="C22" i="33"/>
  <c r="B23" i="33"/>
  <c r="D19" i="31"/>
  <c r="E19" i="31" s="1"/>
  <c r="C20" i="31"/>
  <c r="F20" i="31" s="1"/>
  <c r="B21" i="31"/>
  <c r="E19" i="30"/>
  <c r="C20" i="30"/>
  <c r="B21" i="30"/>
  <c r="C19" i="28"/>
  <c r="B20" i="28"/>
  <c r="B21" i="27"/>
  <c r="C20" i="27"/>
  <c r="C21" i="25"/>
  <c r="F20" i="30" l="1"/>
  <c r="D20" i="30"/>
  <c r="E18" i="26"/>
  <c r="D18" i="26"/>
  <c r="F18" i="26"/>
  <c r="D20" i="31"/>
  <c r="E20" i="31" s="1"/>
  <c r="E20" i="27"/>
  <c r="B20" i="26"/>
  <c r="C19" i="26"/>
  <c r="D22" i="33"/>
  <c r="F22" i="33"/>
  <c r="E19" i="28"/>
  <c r="E21" i="25"/>
  <c r="B24" i="33"/>
  <c r="C23" i="33"/>
  <c r="C21" i="31"/>
  <c r="F21" i="31" s="1"/>
  <c r="B22" i="31"/>
  <c r="E20" i="30"/>
  <c r="C21" i="30"/>
  <c r="B22" i="30"/>
  <c r="C20" i="28"/>
  <c r="B21" i="28"/>
  <c r="B22" i="27"/>
  <c r="C21" i="27"/>
  <c r="C22" i="25"/>
  <c r="F21" i="30" l="1"/>
  <c r="D21" i="30"/>
  <c r="D19" i="26"/>
  <c r="E19" i="26" s="1"/>
  <c r="F19" i="26"/>
  <c r="D21" i="31"/>
  <c r="E21" i="31" s="1"/>
  <c r="E21" i="27"/>
  <c r="C20" i="26"/>
  <c r="B21" i="26"/>
  <c r="D23" i="33"/>
  <c r="F23" i="33"/>
  <c r="E20" i="28"/>
  <c r="E22" i="25"/>
  <c r="B25" i="33"/>
  <c r="C24" i="33"/>
  <c r="C22" i="31"/>
  <c r="F22" i="31" s="1"/>
  <c r="B23" i="31"/>
  <c r="E21" i="30"/>
  <c r="C22" i="30"/>
  <c r="B23" i="30"/>
  <c r="C21" i="28"/>
  <c r="B22" i="28"/>
  <c r="B23" i="27"/>
  <c r="C22" i="27"/>
  <c r="C23" i="25"/>
  <c r="D22" i="30" l="1"/>
  <c r="F22" i="30"/>
  <c r="E22" i="27"/>
  <c r="D20" i="26"/>
  <c r="E20" i="26" s="1"/>
  <c r="F20" i="26"/>
  <c r="D22" i="31"/>
  <c r="E22" i="31" s="1"/>
  <c r="B22" i="26"/>
  <c r="C21" i="26"/>
  <c r="D24" i="33"/>
  <c r="F24" i="33"/>
  <c r="E21" i="28"/>
  <c r="E23" i="25"/>
  <c r="C25" i="33"/>
  <c r="B26" i="33"/>
  <c r="C23" i="31"/>
  <c r="F23" i="31" s="1"/>
  <c r="B24" i="31"/>
  <c r="E22" i="30"/>
  <c r="C23" i="30"/>
  <c r="B24" i="30"/>
  <c r="C22" i="28"/>
  <c r="B23" i="28"/>
  <c r="B24" i="27"/>
  <c r="C23" i="27"/>
  <c r="C24" i="25"/>
  <c r="D23" i="30" l="1"/>
  <c r="F23" i="30"/>
  <c r="E23" i="27"/>
  <c r="F21" i="26"/>
  <c r="D21" i="26"/>
  <c r="E21" i="26" s="1"/>
  <c r="D23" i="31"/>
  <c r="E23" i="31" s="1"/>
  <c r="B23" i="26"/>
  <c r="C22" i="26"/>
  <c r="D25" i="33"/>
  <c r="F25" i="33"/>
  <c r="E22" i="28"/>
  <c r="E24" i="25"/>
  <c r="C26" i="33"/>
  <c r="B27" i="33"/>
  <c r="C24" i="31"/>
  <c r="F24" i="31" s="1"/>
  <c r="B25" i="31"/>
  <c r="E23" i="30"/>
  <c r="C24" i="30"/>
  <c r="B25" i="30"/>
  <c r="C23" i="28"/>
  <c r="B24" i="28"/>
  <c r="B25" i="27"/>
  <c r="C24" i="27"/>
  <c r="C25" i="25"/>
  <c r="F24" i="30" l="1"/>
  <c r="D24" i="30"/>
  <c r="E22" i="26"/>
  <c r="D22" i="26"/>
  <c r="F22" i="26"/>
  <c r="D24" i="31"/>
  <c r="E24" i="31" s="1"/>
  <c r="E24" i="27"/>
  <c r="B24" i="26"/>
  <c r="C23" i="26"/>
  <c r="D26" i="33"/>
  <c r="F26" i="33"/>
  <c r="E23" i="28"/>
  <c r="E25" i="25"/>
  <c r="C27" i="33"/>
  <c r="B28" i="33"/>
  <c r="C25" i="31"/>
  <c r="F25" i="31" s="1"/>
  <c r="B26" i="31"/>
  <c r="E24" i="30"/>
  <c r="C25" i="30"/>
  <c r="B26" i="30"/>
  <c r="C24" i="28"/>
  <c r="B25" i="28"/>
  <c r="B26" i="27"/>
  <c r="C25" i="27"/>
  <c r="C26" i="25"/>
  <c r="F25" i="30" l="1"/>
  <c r="D25" i="30"/>
  <c r="F23" i="26"/>
  <c r="D23" i="26"/>
  <c r="E23" i="26" s="1"/>
  <c r="D25" i="31"/>
  <c r="E25" i="31" s="1"/>
  <c r="E25" i="27"/>
  <c r="C24" i="26"/>
  <c r="B25" i="26"/>
  <c r="D27" i="33"/>
  <c r="F27" i="33"/>
  <c r="E24" i="28"/>
  <c r="E26" i="25"/>
  <c r="B29" i="33"/>
  <c r="C28" i="33"/>
  <c r="C26" i="31"/>
  <c r="F26" i="31" s="1"/>
  <c r="B27" i="31"/>
  <c r="E25" i="30"/>
  <c r="C26" i="30"/>
  <c r="B27" i="30"/>
  <c r="C25" i="28"/>
  <c r="B26" i="28"/>
  <c r="B27" i="27"/>
  <c r="C26" i="27"/>
  <c r="C27" i="25"/>
  <c r="D26" i="30" l="1"/>
  <c r="F26" i="30"/>
  <c r="D24" i="26"/>
  <c r="E24" i="26" s="1"/>
  <c r="F24" i="26"/>
  <c r="D26" i="31"/>
  <c r="E26" i="31" s="1"/>
  <c r="E26" i="27"/>
  <c r="B26" i="26"/>
  <c r="C25" i="26"/>
  <c r="D28" i="33"/>
  <c r="F28" i="33"/>
  <c r="E25" i="28"/>
  <c r="E27" i="25"/>
  <c r="B30" i="33"/>
  <c r="C29" i="33"/>
  <c r="C27" i="31"/>
  <c r="F27" i="31" s="1"/>
  <c r="B28" i="31"/>
  <c r="E26" i="30"/>
  <c r="C27" i="30"/>
  <c r="B28" i="30"/>
  <c r="C26" i="28"/>
  <c r="B27" i="28"/>
  <c r="B28" i="27"/>
  <c r="C27" i="27"/>
  <c r="C28" i="25"/>
  <c r="D27" i="30" l="1"/>
  <c r="F27" i="30"/>
  <c r="E27" i="27"/>
  <c r="D25" i="26"/>
  <c r="E25" i="26" s="1"/>
  <c r="F25" i="26"/>
  <c r="D27" i="31"/>
  <c r="E27" i="31" s="1"/>
  <c r="C26" i="26"/>
  <c r="B27" i="26"/>
  <c r="D29" i="33"/>
  <c r="F29" i="33"/>
  <c r="E26" i="28"/>
  <c r="E28" i="25"/>
  <c r="C30" i="33"/>
  <c r="B31" i="33"/>
  <c r="C28" i="31"/>
  <c r="F28" i="31" s="1"/>
  <c r="B29" i="31"/>
  <c r="E27" i="30"/>
  <c r="C28" i="30"/>
  <c r="B29" i="30"/>
  <c r="C27" i="28"/>
  <c r="B28" i="28"/>
  <c r="B29" i="27"/>
  <c r="C28" i="27"/>
  <c r="C29" i="25"/>
  <c r="F28" i="30" l="1"/>
  <c r="D28" i="30"/>
  <c r="E26" i="26"/>
  <c r="F26" i="26"/>
  <c r="D26" i="26"/>
  <c r="D28" i="31"/>
  <c r="E28" i="31" s="1"/>
  <c r="E28" i="27"/>
  <c r="B28" i="26"/>
  <c r="C27" i="26"/>
  <c r="D30" i="33"/>
  <c r="F30" i="33"/>
  <c r="E27" i="28"/>
  <c r="E29" i="25"/>
  <c r="B32" i="33"/>
  <c r="C31" i="33"/>
  <c r="C29" i="31"/>
  <c r="F29" i="31" s="1"/>
  <c r="B30" i="31"/>
  <c r="E28" i="30"/>
  <c r="C29" i="30"/>
  <c r="B30" i="30"/>
  <c r="C28" i="28"/>
  <c r="B29" i="28"/>
  <c r="B30" i="27"/>
  <c r="C29" i="27"/>
  <c r="C30" i="25"/>
  <c r="F29" i="30" l="1"/>
  <c r="D29" i="30"/>
  <c r="E29" i="30" s="1"/>
  <c r="D27" i="26"/>
  <c r="E27" i="26" s="1"/>
  <c r="F27" i="26"/>
  <c r="D29" i="31"/>
  <c r="E29" i="31" s="1"/>
  <c r="E29" i="27"/>
  <c r="C28" i="26"/>
  <c r="B29" i="26"/>
  <c r="D31" i="33"/>
  <c r="F31" i="33"/>
  <c r="E28" i="28"/>
  <c r="E30" i="25"/>
  <c r="C32" i="33"/>
  <c r="B33" i="33"/>
  <c r="C30" i="31"/>
  <c r="F30" i="31" s="1"/>
  <c r="B31" i="31"/>
  <c r="C30" i="30"/>
  <c r="B31" i="30"/>
  <c r="C29" i="28"/>
  <c r="B30" i="28"/>
  <c r="B31" i="27"/>
  <c r="C30" i="27"/>
  <c r="C31" i="25"/>
  <c r="D30" i="30" l="1"/>
  <c r="F30" i="30"/>
  <c r="F28" i="26"/>
  <c r="D28" i="26"/>
  <c r="E28" i="26" s="1"/>
  <c r="D30" i="31"/>
  <c r="E30" i="31" s="1"/>
  <c r="E30" i="27"/>
  <c r="B30" i="26"/>
  <c r="C29" i="26"/>
  <c r="D32" i="33"/>
  <c r="F32" i="33"/>
  <c r="E29" i="28"/>
  <c r="E31" i="25"/>
  <c r="B34" i="33"/>
  <c r="C33" i="33"/>
  <c r="C31" i="31"/>
  <c r="F31" i="31" s="1"/>
  <c r="B32" i="31"/>
  <c r="E30" i="30"/>
  <c r="C31" i="30"/>
  <c r="B32" i="30"/>
  <c r="C30" i="28"/>
  <c r="B31" i="28"/>
  <c r="B32" i="27"/>
  <c r="C31" i="27"/>
  <c r="C32" i="25"/>
  <c r="D31" i="30" l="1"/>
  <c r="F31" i="30"/>
  <c r="F29" i="26"/>
  <c r="D29" i="26"/>
  <c r="E29" i="26" s="1"/>
  <c r="D31" i="31"/>
  <c r="E31" i="31" s="1"/>
  <c r="E31" i="27"/>
  <c r="C30" i="26"/>
  <c r="B31" i="26"/>
  <c r="D33" i="33"/>
  <c r="F33" i="33"/>
  <c r="E30" i="28"/>
  <c r="E32" i="25"/>
  <c r="C34" i="33"/>
  <c r="B35" i="33"/>
  <c r="C32" i="31"/>
  <c r="F32" i="31" s="1"/>
  <c r="B33" i="31"/>
  <c r="E31" i="30"/>
  <c r="C32" i="30"/>
  <c r="B33" i="30"/>
  <c r="C31" i="28"/>
  <c r="B32" i="28"/>
  <c r="B33" i="27"/>
  <c r="C32" i="27"/>
  <c r="C33" i="25"/>
  <c r="F32" i="30" l="1"/>
  <c r="D32" i="30"/>
  <c r="E30" i="26"/>
  <c r="F30" i="26"/>
  <c r="D30" i="26"/>
  <c r="D32" i="31"/>
  <c r="E32" i="31" s="1"/>
  <c r="E32" i="27"/>
  <c r="C31" i="26"/>
  <c r="B32" i="26"/>
  <c r="D34" i="33"/>
  <c r="F34" i="33"/>
  <c r="E31" i="28"/>
  <c r="E33" i="25"/>
  <c r="C35" i="33"/>
  <c r="B36" i="33"/>
  <c r="C33" i="31"/>
  <c r="F33" i="31" s="1"/>
  <c r="B34" i="31"/>
  <c r="E32" i="30"/>
  <c r="C33" i="30"/>
  <c r="B34" i="30"/>
  <c r="C32" i="28"/>
  <c r="B33" i="28"/>
  <c r="B34" i="27"/>
  <c r="C33" i="27"/>
  <c r="C34" i="25"/>
  <c r="F33" i="30" l="1"/>
  <c r="D33" i="30"/>
  <c r="E31" i="26"/>
  <c r="F31" i="26"/>
  <c r="D31" i="26"/>
  <c r="D33" i="31"/>
  <c r="E33" i="31" s="1"/>
  <c r="E33" i="27"/>
  <c r="B33" i="26"/>
  <c r="C32" i="26"/>
  <c r="D35" i="33"/>
  <c r="F35" i="33"/>
  <c r="E32" i="28"/>
  <c r="E34" i="25"/>
  <c r="C36" i="33"/>
  <c r="B37" i="33"/>
  <c r="C34" i="31"/>
  <c r="F34" i="31" s="1"/>
  <c r="B35" i="31"/>
  <c r="E33" i="30"/>
  <c r="C34" i="30"/>
  <c r="B35" i="30"/>
  <c r="C33" i="28"/>
  <c r="B34" i="28"/>
  <c r="B35" i="27"/>
  <c r="C34" i="27"/>
  <c r="C35" i="25"/>
  <c r="D34" i="30" l="1"/>
  <c r="F34" i="30"/>
  <c r="E32" i="26"/>
  <c r="F32" i="26"/>
  <c r="D32" i="26"/>
  <c r="D34" i="31"/>
  <c r="E34" i="31" s="1"/>
  <c r="E34" i="27"/>
  <c r="B34" i="26"/>
  <c r="C33" i="26"/>
  <c r="D36" i="33"/>
  <c r="F36" i="33"/>
  <c r="E33" i="28"/>
  <c r="E35" i="25"/>
  <c r="B38" i="33"/>
  <c r="C37" i="33"/>
  <c r="C35" i="31"/>
  <c r="F35" i="31" s="1"/>
  <c r="B36" i="31"/>
  <c r="E34" i="30"/>
  <c r="C35" i="30"/>
  <c r="B36" i="30"/>
  <c r="C34" i="28"/>
  <c r="B35" i="28"/>
  <c r="B36" i="27"/>
  <c r="C35" i="27"/>
  <c r="C36" i="25"/>
  <c r="D35" i="30" l="1"/>
  <c r="F35" i="30"/>
  <c r="E33" i="26"/>
  <c r="D33" i="26"/>
  <c r="F33" i="26"/>
  <c r="D35" i="31"/>
  <c r="E35" i="31" s="1"/>
  <c r="E35" i="27"/>
  <c r="B35" i="26"/>
  <c r="C34" i="26"/>
  <c r="D37" i="33"/>
  <c r="F37" i="33"/>
  <c r="E34" i="28"/>
  <c r="E36" i="25"/>
  <c r="C38" i="33"/>
  <c r="B39" i="33"/>
  <c r="C36" i="31"/>
  <c r="F36" i="31" s="1"/>
  <c r="B37" i="31"/>
  <c r="E35" i="30"/>
  <c r="C36" i="30"/>
  <c r="B37" i="30"/>
  <c r="C35" i="28"/>
  <c r="B36" i="28"/>
  <c r="B37" i="27"/>
  <c r="C36" i="27"/>
  <c r="C37" i="25"/>
  <c r="F36" i="30" l="1"/>
  <c r="D36" i="30"/>
  <c r="E34" i="26"/>
  <c r="F34" i="26"/>
  <c r="D34" i="26"/>
  <c r="D36" i="31"/>
  <c r="E36" i="31" s="1"/>
  <c r="E36" i="27"/>
  <c r="C35" i="26"/>
  <c r="B36" i="26"/>
  <c r="D38" i="33"/>
  <c r="F38" i="33"/>
  <c r="E35" i="28"/>
  <c r="E37" i="25"/>
  <c r="B40" i="33"/>
  <c r="C39" i="33"/>
  <c r="C37" i="31"/>
  <c r="F37" i="31" s="1"/>
  <c r="B38" i="31"/>
  <c r="E36" i="30"/>
  <c r="C37" i="30"/>
  <c r="B38" i="30"/>
  <c r="C36" i="28"/>
  <c r="B37" i="28"/>
  <c r="C37" i="27"/>
  <c r="B38" i="27"/>
  <c r="C38" i="25"/>
  <c r="F37" i="30" l="1"/>
  <c r="D37" i="30"/>
  <c r="E35" i="26"/>
  <c r="D35" i="26"/>
  <c r="F35" i="26"/>
  <c r="D37" i="31"/>
  <c r="E37" i="31" s="1"/>
  <c r="E37" i="27"/>
  <c r="B37" i="26"/>
  <c r="C36" i="26"/>
  <c r="D39" i="33"/>
  <c r="F39" i="33"/>
  <c r="E36" i="28"/>
  <c r="E38" i="25"/>
  <c r="B41" i="33"/>
  <c r="C40" i="33"/>
  <c r="B39" i="31"/>
  <c r="C38" i="31"/>
  <c r="F38" i="31" s="1"/>
  <c r="E37" i="30"/>
  <c r="B39" i="30"/>
  <c r="C38" i="30"/>
  <c r="B38" i="28"/>
  <c r="C37" i="28"/>
  <c r="B39" i="27"/>
  <c r="C38" i="27"/>
  <c r="C39" i="25"/>
  <c r="D38" i="30" l="1"/>
  <c r="F38" i="30"/>
  <c r="E36" i="26"/>
  <c r="F36" i="26"/>
  <c r="D36" i="26"/>
  <c r="D38" i="31"/>
  <c r="E38" i="31" s="1"/>
  <c r="E38" i="27"/>
  <c r="C37" i="26"/>
  <c r="B38" i="26"/>
  <c r="D40" i="33"/>
  <c r="F40" i="33"/>
  <c r="E37" i="28"/>
  <c r="E39" i="25"/>
  <c r="C41" i="33"/>
  <c r="B42" i="33"/>
  <c r="C39" i="31"/>
  <c r="F39" i="31" s="1"/>
  <c r="B40" i="31"/>
  <c r="E38" i="30"/>
  <c r="C39" i="30"/>
  <c r="B40" i="30"/>
  <c r="C38" i="28"/>
  <c r="B39" i="28"/>
  <c r="B40" i="27"/>
  <c r="C39" i="27"/>
  <c r="C40" i="25"/>
  <c r="D39" i="30" l="1"/>
  <c r="F39" i="30"/>
  <c r="E37" i="26"/>
  <c r="F37" i="26"/>
  <c r="D37" i="26"/>
  <c r="D39" i="31"/>
  <c r="E39" i="31" s="1"/>
  <c r="E39" i="27"/>
  <c r="C38" i="26"/>
  <c r="B39" i="26"/>
  <c r="D41" i="33"/>
  <c r="F41" i="33"/>
  <c r="E38" i="28"/>
  <c r="E40" i="25"/>
  <c r="B43" i="33"/>
  <c r="C42" i="33"/>
  <c r="B41" i="31"/>
  <c r="C40" i="31"/>
  <c r="F40" i="31" s="1"/>
  <c r="E39" i="30"/>
  <c r="B41" i="30"/>
  <c r="C40" i="30"/>
  <c r="B40" i="28"/>
  <c r="C39" i="28"/>
  <c r="B41" i="27"/>
  <c r="C40" i="27"/>
  <c r="C41" i="25"/>
  <c r="F40" i="30" l="1"/>
  <c r="D40" i="30"/>
  <c r="D38" i="26"/>
  <c r="E38" i="26" s="1"/>
  <c r="F38" i="26"/>
  <c r="D40" i="31"/>
  <c r="E40" i="31" s="1"/>
  <c r="E40" i="27"/>
  <c r="B40" i="26"/>
  <c r="C39" i="26"/>
  <c r="D42" i="33"/>
  <c r="F42" i="33"/>
  <c r="E39" i="28"/>
  <c r="E41" i="25"/>
  <c r="C43" i="33"/>
  <c r="B44" i="33"/>
  <c r="C44" i="33" s="1"/>
  <c r="B42" i="31"/>
  <c r="C41" i="31"/>
  <c r="F41" i="31" s="1"/>
  <c r="E40" i="30"/>
  <c r="C41" i="30"/>
  <c r="B42" i="30"/>
  <c r="C42" i="30" s="1"/>
  <c r="C40" i="28"/>
  <c r="B41" i="28"/>
  <c r="C41" i="28" s="1"/>
  <c r="C41" i="27"/>
  <c r="B42" i="27"/>
  <c r="C42" i="27" s="1"/>
  <c r="F41" i="30" l="1"/>
  <c r="D41" i="30"/>
  <c r="D42" i="30"/>
  <c r="F42" i="30"/>
  <c r="E42" i="27"/>
  <c r="F39" i="26"/>
  <c r="D39" i="26"/>
  <c r="E39" i="26" s="1"/>
  <c r="D41" i="31"/>
  <c r="E41" i="31" s="1"/>
  <c r="E41" i="27"/>
  <c r="C40" i="26"/>
  <c r="B41" i="26"/>
  <c r="D44" i="33"/>
  <c r="F44" i="33"/>
  <c r="D43" i="33"/>
  <c r="F43" i="33"/>
  <c r="E41" i="28"/>
  <c r="E40" i="28"/>
  <c r="C42" i="31"/>
  <c r="F42" i="31" s="1"/>
  <c r="B43" i="31"/>
  <c r="C43" i="31" s="1"/>
  <c r="F43" i="31" s="1"/>
  <c r="E41" i="30"/>
  <c r="E42" i="30"/>
  <c r="C42" i="25"/>
  <c r="F40" i="26" l="1"/>
  <c r="D40" i="26"/>
  <c r="E40" i="26" s="1"/>
  <c r="D43" i="31"/>
  <c r="E43" i="31" s="1"/>
  <c r="D42" i="31"/>
  <c r="E42" i="31" s="1"/>
  <c r="C41" i="26"/>
  <c r="B42" i="26"/>
  <c r="C42" i="26" s="1"/>
  <c r="E42" i="25"/>
  <c r="D41" i="26" l="1"/>
  <c r="E41" i="26" s="1"/>
  <c r="F41" i="26"/>
  <c r="D42" i="26"/>
  <c r="E42" i="26" s="1"/>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<sst xmlns="http://schemas.openxmlformats.org/spreadsheetml/2006/main" count="1860" uniqueCount="287">
  <si>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</si>
  <si>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</si>
  <si>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</si>
  <si>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</si>
  <si>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</si>
  <si>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</si>
  <si>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</si>
  <si>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</si>
  <si>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</si>
  <si>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</si>
  <si>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</si>
  <si>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</si>
  <si>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</si>
  <si>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</si>
  <si>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</si>
  <si>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</si>
  <si>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</si>
  <si>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</si>
  <si>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</si>
  <si>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</si>
  <si>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</si>
  <si>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</si>
  <si>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</si>
  <si>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</si>
  <si>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</si>
  <si>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</si>
  <si>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</si>
  <si>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</si>
  <si>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</si>
  <si>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</si>
  <si>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</si>
  <si>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</si>
  <si>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</si>
  <si>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</si>
  <si>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</si>
  <si>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</si>
  <si>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</si>
  <si>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</si>
  <si>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</si>
  <si>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</si>
  <si>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</si>
  <si>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</si>
  <si>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</si>
  <si>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</si>
  <si>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</si>
  <si>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</si>
  <si>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</si>
  <si>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</si>
  <si>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</si>
  <si>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</si>
  <si>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</si>
  <si>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</si>
  <si>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</si>
  <si>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</si>
  <si>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</si>
  <si>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</si>
  <si>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</si>
  <si>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</si>
  <si>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</si>
  <si>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</si>
  <si>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</si>
  <si>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</si>
  <si>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</si>
  <si>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</si>
  <si>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</si>
  <si>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</si>
  <si>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</si>
  <si>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</si>
  <si>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</si>
  <si>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</si>
  <si>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</si>
  <si>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</si>
  <si>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</si>
  <si>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</si>
  <si>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</si>
  <si>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</si>
  <si>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</si>
  <si>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</si>
  <si>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</si>
  <si>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</si>
  <si>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</si>
  <si>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</si>
  <si>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</si>
  <si>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</si>
  <si>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</si>
  <si>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</si>
  <si>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</si>
  <si>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</si>
  <si>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</si>
  <si>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</si>
  <si>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</si>
  <si>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</si>
  <si>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</si>
  <si>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</si>
  <si>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</si>
  <si>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</si>
  <si>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</si>
  <si>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</si>
  <si>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</si>
  <si>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</si>
  <si>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</si>
  <si>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</si>
  <si>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</si>
  <si>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</si>
  <si>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</si>
  <si>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</si>
  <si>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</si>
  <si>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</si>
  <si>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</si>
  <si>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</si>
  <si>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</si>
  <si>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</si>
  <si>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</si>
  <si>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</si>
  <si>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</si>
  <si>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</si>
  <si>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</si>
  <si>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</si>
  <si>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</si>
  <si>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</si>
  <si>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</si>
  <si>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</si>
  <si>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</si>
  <si>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</si>
  <si>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</si>
  <si>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</si>
  <si>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</si>
  <si>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</si>
  <si>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</si>
  <si>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</si>
  <si>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</si>
  <si>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</si>
  <si>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</si>
  <si>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</si>
  <si>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</si>
  <si>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</si>
  <si>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</si>
  <si>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</si>
  <si>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</si>
  <si>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</si>
  <si>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</si>
  <si>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</si>
  <si>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</si>
  <si>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</si>
  <si>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</si>
  <si>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</si>
  <si>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</si>
  <si>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</si>
  <si>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</si>
  <si>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</si>
  <si>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</si>
  <si>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</si>
  <si>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</si>
  <si>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</si>
  <si>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</si>
  <si>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</si>
  <si>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</si>
  <si>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</si>
  <si>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</si>
  <si>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</si>
  <si>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</si>
  <si>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</si>
  <si>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</si>
  <si>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</si>
  <si>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</si>
  <si>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</si>
  <si>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</si>
  <si>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</si>
  <si>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</si>
  <si>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</si>
  <si>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</si>
  <si>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</si>
  <si>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</si>
  <si>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</si>
  <si>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</si>
  <si>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</si>
  <si>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</si>
  <si>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</si>
  <si>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</si>
  <si>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</si>
  <si>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</si>
  <si>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</si>
  <si>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</si>
  <si>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</si>
  <si>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</si>
  <si>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</si>
  <si>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</si>
  <si>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</si>
  <si>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</si>
  <si>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</si>
  <si>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</si>
  <si>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</si>
  <si>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</si>
  <si>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</si>
  <si>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</si>
  <si>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</si>
  <si>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</si>
  <si>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</si>
  <si>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</si>
  <si>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</si>
  <si>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</si>
  <si>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</si>
  <si>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</si>
  <si>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</si>
  <si>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</si>
  <si>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</si>
  <si>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</si>
  <si>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</si>
  <si>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</si>
  <si>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</si>
  <si>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</si>
  <si>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</si>
  <si>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</si>
  <si>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</si>
  <si>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</si>
  <si>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</si>
  <si>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</si>
  <si>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</si>
  <si>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</si>
  <si>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</si>
  <si>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</si>
  <si>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</si>
  <si>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</si>
  <si>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</si>
  <si>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</si>
  <si>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Attenuator + Buffer</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</si>
  <si>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</si>
  <si>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</si>
  <si>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</si>
  <si>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</si>
  <si>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</si>
  <si>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</si>
  <si>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</si>
  <si>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</si>
  <si>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</si>
  <si>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</si>
  <si>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</si>
  <si>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</si>
  <si>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</si>
  <si>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</si>
  <si>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</si>
  <si>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</si>
  <si>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</si>
  <si>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</si>
  <si>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</si>
  <si>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</si>
  <si>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</si>
  <si>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</si>
  <si>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</si>
  <si>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</si>
  <si>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</si>
  <si>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</si>
  <si>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</si>
  <si>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</si>
  <si>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</si>
  <si>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</si>
  <si>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</si>
  <si>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</si>
  <si>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</si>
  <si>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</si>
  <si>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</si>
  <si>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</si>
  <si>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</si>
  <si>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</si>
  <si>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</si>
  <si>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</si>
  <si>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</si>
  <si>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</si>
  <si>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</si>
  <si>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</si>
  <si>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</si>
  <si>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</si>
  <si>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</si>
  <si>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</si>
  <si>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</si>
  <si>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</si>
  <si>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</si>
  <si>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</si>
  <si>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</si>
  <si>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</si>
  <si>
    <t>Don't do this if Vin is positive!</t>
  </si>
  <si>
    <t>Source:</t>
  </si>
  <si>
    <r>
      <rPr>
        <b/>
        <sz val="11"/>
        <color theme="1"/>
        <rFont val="Calibri"/>
        <family val="2"/>
        <scheme val="minor"/>
      </rPr>
      <t>Source:</t>
    </r>
    <r>
      <rPr>
        <sz val="11"/>
        <color theme="1"/>
        <rFont val="Calibri"/>
        <family val="2"/>
        <scheme val="minor"/>
      </rPr>
      <t xml:space="preserve"> Perplexity.ai</t>
    </r>
  </si>
  <si>
    <r>
      <rPr>
        <b/>
        <sz val="11"/>
        <color theme="1"/>
        <rFont val="Calibri"/>
        <family val="2"/>
        <scheme val="minor"/>
      </rPr>
      <t xml:space="preserve">Source: </t>
    </r>
    <r>
      <rPr>
        <sz val="11"/>
        <color theme="1"/>
        <rFont val="Calibri"/>
        <family val="2"/>
        <scheme val="minor"/>
      </rPr>
      <t>Mancini, R. "Op-amps for everyone". Texas Instruments, Aug 2002</t>
    </r>
  </si>
  <si>
    <t>This doesn't "filter" out low frequencies, it amplifies higher ones more aggressively.</t>
  </si>
  <si>
    <t>https://ww1.microchip.com/downloads/en/DeviceDoc/20001811F.pdf</t>
  </si>
  <si>
    <r>
      <t>Key Points</t>
    </r>
    <r>
      <rPr>
        <sz val="11"/>
        <color theme="1"/>
        <rFont val="Calibri"/>
        <family val="2"/>
        <scheme val="minor"/>
      </rPr>
      <t xml:space="preserve"> (generated from Perplexity.ai)</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</si>
</sst>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
      <i/>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1" fillId="0" borderId="0" applyNumberFormat="0" applyFill="0" applyBorder="0" applyAlignment="0" applyProtection="0"/>
  </cellStyleXfs>
  <cellXfs count="33">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19" fillId="2" borderId="0" xfId="0" applyFont="1" applyFill="1"/>
    <xf numFmtId="0" fontId="20" fillId="2" borderId="0" xfId="0" applyFont="1" applyFill="1"/>
    <xf numFmtId="0" fontId="18" fillId="2" borderId="0" xfId="0" applyFont="1" applyFill="1"/>
    <xf numFmtId="0" fontId="21" fillId="2" borderId="0" xfId="2" applyFill="1"/>
    <xf numFmtId="0" fontId="0" fillId="2" borderId="4" xfId="0" applyFill="1" applyBorder="1"/>
    <xf numFmtId="0" fontId="23" fillId="2" borderId="0" xfId="0" applyFont="1" applyFill="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-1.6558652733752568</c:v>
                </c:pt>
                <c:pt idx="2">
                  <c:v>-1.7745139646993677</c:v>
                </c:pt>
                <c:pt idx="3">
                  <c:v>-0.24579898732541211</c:v>
                </c:pt>
                <c:pt idx="4">
                  <c:v>1.5111025975240506</c:v>
                </c:pt>
                <c:pt idx="5">
                  <c:v>1.8651775107569097</c:v>
                </c:pt>
                <c:pt idx="6">
                  <c:v>0.48772157778750641</c:v>
                </c:pt>
                <c:pt idx="7">
                  <c:v>-1.3425089310209513</c:v>
                </c:pt>
                <c:pt idx="8">
                  <c:v>-1.9264260932667778</c:v>
                </c:pt>
                <c:pt idx="9">
                  <c:v>-0.72195250761714413</c:v>
                </c:pt>
                <c:pt idx="10">
                  <c:v>1.1527430966996892</c:v>
                </c:pt>
                <c:pt idx="11">
                  <c:v>1.957293785494661</c:v>
                </c:pt>
                <c:pt idx="12">
                  <c:v>0.94479781512813599</c:v>
                </c:pt>
                <c:pt idx="13">
                  <c:v>-0.94479781512812511</c:v>
                </c:pt>
                <c:pt idx="14">
                  <c:v>-1.9572937854946602</c:v>
                </c:pt>
                <c:pt idx="15">
                  <c:v>-1.1527430966996992</c:v>
                </c:pt>
                <c:pt idx="16">
                  <c:v>0.72195250761713603</c:v>
                </c:pt>
                <c:pt idx="17">
                  <c:v>1.9264260932667767</c:v>
                </c:pt>
                <c:pt idx="18">
                  <c:v>1.3425089310209526</c:v>
                </c:pt>
                <c:pt idx="19">
                  <c:v>-0.48772157778750791</c:v>
                </c:pt>
                <c:pt idx="20">
                  <c:v>-1.8651775107569111</c:v>
                </c:pt>
                <c:pt idx="21">
                  <c:v>-1.5111025975240451</c:v>
                </c:pt>
                <c:pt idx="22">
                  <c:v>0.24579898732542316</c:v>
                </c:pt>
                <c:pt idx="23">
                  <c:v>1.7745139646993735</c:v>
                </c:pt>
                <c:pt idx="24">
                  <c:v>1.6558652733752481</c:v>
                </c:pt>
                <c:pt idx="25">
                  <c:v>-1.8980185911077913E-14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LPF'!$C$18</c:f>
              <c:strCache>
                <c:ptCount val="1"/>
                <c:pt idx="0">
                  <c:v>Vin(+)</c:v>
                </c:pt>
              </c:strCache>
            </c:strRef>
          </c:tx>
          <c:spPr>
            <a:ln>
              <a:solidFill>
                <a:schemeClr val="tx1"/>
              </a:solidFill>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'Inv+Bias LPF'!$E$18</c:f>
              <c:strCache>
                <c:ptCount val="1"/>
                <c:pt idx="0">
                  <c:v>Vout</c:v>
                </c:pt>
              </c:strCache>
            </c:strRef>
          </c:tx>
          <c:spPr>
            <a:ln>
              <a:solidFill>
                <a:srgbClr val="C00000"/>
              </a:solidFill>
              <a:prstDash val="dash"/>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LPF'!$C$48</c:f>
              <c:strCache>
                <c:ptCount val="1"/>
                <c:pt idx="0">
                  <c:v>Gain,dB</c:v>
                </c:pt>
              </c:strCache>
            </c:strRef>
          </c:tx>
          <c:spPr>
            <a:ln w="19050" cap="rnd">
              <a:solidFill>
                <a:srgbClr val="C00000"/>
              </a:solidFill>
              <a:round/>
            </a:ln>
            <a:effectLst/>
          </c:spPr>
          <c:marker>
            <c:symbol val="none"/>
          </c:marker>
          <c:xVal>
            <c:numRef>
              <c:f>'Inv+Bias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'Inv+Bias HPF (AC Amp)'!$C$18</c:f>
              <c:strCache>
                <c:ptCount val="1"/>
                <c:pt idx="0">
                  <c:v>Vin(+)</c:v>
                </c:pt>
              </c:strCache>
            </c:strRef>
          </c:tx>
          <c:spPr>
            <a:ln>
              <a:solidFill>
                <a:schemeClr val="tx1"/>
              </a:solidFill>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'Inv+Bias HPF (AC Amp)'!$E$18</c:f>
              <c:strCache>
                <c:ptCount val="1"/>
                <c:pt idx="0">
                  <c:v>Vout</c:v>
                </c:pt>
              </c:strCache>
            </c:strRef>
          </c:tx>
          <c:spPr>
            <a:ln>
              <a:solidFill>
                <a:srgbClr val="C00000"/>
              </a:solidFill>
              <a:prstDash val="dash"/>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HPF (AC Amp)'!$C$48</c:f>
              <c:strCache>
                <c:ptCount val="1"/>
                <c:pt idx="0">
                  <c:v>Gain,dB</c:v>
                </c:pt>
              </c:strCache>
            </c:strRef>
          </c:tx>
          <c:spPr>
            <a:ln w="19050" cap="rnd">
              <a:solidFill>
                <a:srgbClr val="C00000"/>
              </a:solidFill>
              <a:round/>
            </a:ln>
            <a:effectLst/>
          </c:spPr>
          <c:marker>
            <c:symbol val="none"/>
          </c:marker>
          <c:xVal>
            <c:numRef>
              <c:f>'Inv+Bias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-0.24868988716485621</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0.99802672842827145</c:v>
                </c:pt>
                <c:pt idx="15">
                  <c:v>0.58778525229247358</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-0.90482705246602246</c:v>
                </c:pt>
                <c:pt idx="24">
                  <c:v>-0.84432792550201063</c:v>
                </c:pt>
                <c:pt idx="25">
                  <c:v>6.1253085936741059E-15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LPF'!$E$17:$E$42</c:f>
              <c:numCache>
                <c:formatCode>General</c:formatCode>
                <c:ptCount val="26"/>
                <c:pt idx="0">
                  <c:v>0</c:v>
                </c:pt>
                <c:pt idx="1">
                  <c:v>8.4013768660735413E-2</c:v>
                </c:pt>
                <c:pt idx="2">
                  <c:v>9.0033656791177447E-2</c:v>
                </c:pt>
                <c:pt idx="3">
                  <c:v>1.2471122856575789E-2</c:v>
                </c:pt>
                <c:pt idx="4">
                  <c:v>-7.6668933211120865E-2</c:v>
                </c:pt>
                <c:pt idx="5">
                  <c:v>-9.4633660370523051E-2</c:v>
                </c:pt>
                <c:pt idx="6">
                  <c:v>-2.4745568655815776E-2</c:v>
                </c:pt>
                <c:pt idx="7">
                  <c:v>6.8114982884966147E-2</c:v>
                </c:pt>
                <c:pt idx="8">
                  <c:v>9.774123459441697E-2</c:v>
                </c:pt>
                <c:pt idx="9">
                  <c:v>3.6629762055067266E-2</c:v>
                </c:pt>
                <c:pt idx="10">
                  <c:v>-5.8486818588797028E-2</c:v>
                </c:pt>
                <c:pt idx="11">
                  <c:v>-9.9307371160973532E-2</c:v>
                </c:pt>
                <c:pt idx="12">
                  <c:v>-4.7936282225151221E-2</c:v>
                </c:pt>
                <c:pt idx="13">
                  <c:v>4.7936282225150666E-2</c:v>
                </c:pt>
                <c:pt idx="14">
                  <c:v>9.9307371160973518E-2</c:v>
                </c:pt>
                <c:pt idx="15">
                  <c:v>5.848681858879725E-2</c:v>
                </c:pt>
                <c:pt idx="16">
                  <c:v>-3.6629762055067183E-2</c:v>
                </c:pt>
                <c:pt idx="17">
                  <c:v>-9.7741234594416984E-2</c:v>
                </c:pt>
                <c:pt idx="18">
                  <c:v>-6.8114982884966216E-2</c:v>
                </c:pt>
                <c:pt idx="19">
                  <c:v>2.4745568655815769E-2</c:v>
                </c:pt>
                <c:pt idx="20">
                  <c:v>9.4633660370523121E-2</c:v>
                </c:pt>
                <c:pt idx="21">
                  <c:v>7.6668933211120588E-2</c:v>
                </c:pt>
                <c:pt idx="22">
                  <c:v>-1.2471122856576306E-2</c:v>
                </c:pt>
                <c:pt idx="23">
                  <c:v>-9.0033656791177738E-2</c:v>
                </c:pt>
                <c:pt idx="24">
                  <c:v>-8.4013768660734969E-2</c:v>
                </c:pt>
                <c:pt idx="25">
                  <c:v>6.0949098522185824E-16</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c:v>
                </c:pt>
                <c:pt idx="1">
                  <c:v>0.59702992084338946</c:v>
                </c:pt>
                <c:pt idx="2">
                  <c:v>0.63980925798415478</c:v>
                </c:pt>
                <c:pt idx="3">
                  <c:v>8.8623967363690132E-2</c:v>
                </c:pt>
                <c:pt idx="4">
                  <c:v>-0.54483506520253655</c:v>
                </c:pt>
                <c:pt idx="5">
                  <c:v>-0.67249842092298551</c:v>
                </c:pt>
                <c:pt idx="6">
                  <c:v>-0.17585028182066292</c:v>
                </c:pt>
                <c:pt idx="7">
                  <c:v>0.48404783511474714</c:v>
                </c:pt>
                <c:pt idx="8">
                  <c:v>0.6945818820327766</c:v>
                </c:pt>
                <c:pt idx="9">
                  <c:v>0.26030333228545677</c:v>
                </c:pt>
                <c:pt idx="10">
                  <c:v>-0.41562688151103822</c:v>
                </c:pt>
                <c:pt idx="11">
                  <c:v>-0.7057113719398066</c:v>
                </c:pt>
                <c:pt idx="12">
                  <c:v>-0.34065124370243666</c:v>
                </c:pt>
                <c:pt idx="13">
                  <c:v>0.34065124370243605</c:v>
                </c:pt>
                <c:pt idx="14">
                  <c:v>0.70571137193980649</c:v>
                </c:pt>
                <c:pt idx="15">
                  <c:v>0.41562688151103877</c:v>
                </c:pt>
                <c:pt idx="16">
                  <c:v>-0.26030333228545727</c:v>
                </c:pt>
                <c:pt idx="17">
                  <c:v>-0.69458188203277638</c:v>
                </c:pt>
                <c:pt idx="18">
                  <c:v>-0.48404783511474758</c:v>
                </c:pt>
                <c:pt idx="19">
                  <c:v>0.17585028182066104</c:v>
                </c:pt>
                <c:pt idx="20">
                  <c:v>0.67249842092298528</c:v>
                </c:pt>
                <c:pt idx="21">
                  <c:v>0.54483506520253622</c:v>
                </c:pt>
                <c:pt idx="22">
                  <c:v>-8.8623967363688813E-2</c:v>
                </c:pt>
                <c:pt idx="23">
                  <c:v>-0.63980925798415478</c:v>
                </c:pt>
                <c:pt idx="24">
                  <c:v>-0.59702992084339024</c:v>
                </c:pt>
                <c:pt idx="25">
                  <c:v>-6.9304853051789641E-16</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5.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3.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27.png"/></Relationships>
</file>

<file path=xl/drawings/_rels/drawing2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3.png"/><Relationship Id="rId4" Type="http://schemas.openxmlformats.org/officeDocument/2006/relationships/image" Target="../media/image29.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32.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jpeg"/><Relationship Id="rId1" Type="http://schemas.openxmlformats.org/officeDocument/2006/relationships/chart" Target="../charts/chart43.xml"/><Relationship Id="rId4"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9.jpeg"/><Relationship Id="rId2" Type="http://schemas.openxmlformats.org/officeDocument/2006/relationships/image" Target="../media/image40.png"/><Relationship Id="rId1" Type="http://schemas.openxmlformats.org/officeDocument/2006/relationships/chart" Target="../charts/chart44.xml"/><Relationship Id="rId4" Type="http://schemas.openxmlformats.org/officeDocument/2006/relationships/image" Target="../media/image41.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image" Target="../media/image7.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1.png"/><Relationship Id="rId1" Type="http://schemas.openxmlformats.org/officeDocument/2006/relationships/chart" Target="../charts/chart12.xml"/><Relationship Id="rId5" Type="http://schemas.openxmlformats.org/officeDocument/2006/relationships/image" Target="../media/image13.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20</xdr:col>
      <xdr:colOff>191432</xdr:colOff>
      <xdr:row>0</xdr:row>
      <xdr:rowOff>279098</xdr:rowOff>
    </xdr:from>
    <xdr:to>
      <xdr:col>27</xdr:col>
      <xdr:colOff>601007</xdr:colOff>
      <xdr:row>31</xdr:row>
      <xdr:rowOff>97235</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87697" y="279098"/>
          <a:ext cx="4645398" cy="6239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CA" sz="1400" b="0">
                <a:effectLst/>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oMath>
                </m:oMathPara>
              </a14:m>
              <a:endParaRPr lang="en-CA" sz="1400" b="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r>
                <a:rPr lang="en-US" sz="1200" i="0">
                  <a:latin typeface="Cambria Math" panose="02040503050406030204" pitchFamily="18" charset="0"/>
                </a:rPr>
                <a:t>𝑉_𝑜𝑢𝑡=−(𝑅_𝐹/𝑅_1 ) 𝑉_𝑖𝑛+(1+𝑅_𝐹/𝑅_1 ) 𝑉_𝑏</a:t>
              </a:r>
              <a:endParaRPr lang="en-US" sz="1100" baseline="30000"/>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CA" sz="1400" b="0">
                <a:effectLst/>
              </a:endParaRPr>
            </a:p>
            <a:p>
              <a:pPr algn="ctr">
                <a:spcAft>
                  <a:spcPts val="300"/>
                </a:spcAft>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−𝑉_𝑏)</a:t>
              </a:r>
              <a:r>
                <a:rPr lang="en-US" sz="1400" b="0" i="0" kern="1200">
                  <a:solidFill>
                    <a:schemeClr val="tx1"/>
                  </a:solidFill>
                  <a:effectLst/>
                  <a:latin typeface="Cambria Math" panose="02040503050406030204" pitchFamily="18" charset="0"/>
                  <a:ea typeface="+mn-ea"/>
                  <a:cs typeface="+mn-cs"/>
                </a:rPr>
                <a:t>+𝑉_𝑏</a:t>
              </a:r>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𝑉^+/2</a:t>
              </a:r>
              <a:endParaRPr lang="en-CA" sz="1400" b="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twoCellAnchor>
    <xdr:from>
      <xdr:col>13</xdr:col>
      <xdr:colOff>44823</xdr:colOff>
      <xdr:row>9</xdr:row>
      <xdr:rowOff>11205</xdr:rowOff>
    </xdr:from>
    <xdr:to>
      <xdr:col>17</xdr:col>
      <xdr:colOff>156882</xdr:colOff>
      <xdr:row>13</xdr:row>
      <xdr:rowOff>186962</xdr:rowOff>
    </xdr:to>
    <xdr:sp macro="" textlink="">
      <xdr:nvSpPr>
        <xdr:cNvPr id="3" name="TextBox 6">
          <a:extLst>
            <a:ext uri="{FF2B5EF4-FFF2-40B4-BE49-F238E27FC236}">
              <a16:creationId xmlns:a16="http://schemas.microsoft.com/office/drawing/2014/main" id="{E2074E0A-E32A-7AD4-B790-D631D992A0EC}"/>
            </a:ext>
          </a:extLst>
        </xdr:cNvPr>
        <xdr:cNvSpPr txBox="1"/>
      </xdr:nvSpPr>
      <xdr:spPr>
        <a:xfrm>
          <a:off x="7855323" y="2252381"/>
          <a:ext cx="2532530" cy="937757"/>
        </a:xfrm>
        <a:prstGeom prst="rect">
          <a:avLst/>
        </a:prstGeom>
        <a:solidFill>
          <a:schemeClr val="accent4">
            <a:lumMod val="20000"/>
            <a:lumOff val="80000"/>
          </a:schemeClr>
        </a:solidFill>
        <a:ln>
          <a:solidFill>
            <a:schemeClr val="accent1"/>
          </a:solidFill>
        </a:ln>
      </xdr:spPr>
      <xdr:txBody>
        <a:bodyPr wrap="square" rtlCol="0">
          <a:spAutoFit/>
        </a:bodyPr>
        <a:lstStyle/>
        <a:p>
          <a:pPr algn="ctr">
            <a:lnSpc>
              <a:spcPct val="100000"/>
            </a:lnSpc>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Comparator:</a:t>
          </a:r>
          <a:endParaRPr lang="en-CA" sz="2000">
            <a:effectLst/>
            <a:latin typeface="Times New Roman" panose="02020603050405020304" pitchFamily="18" charset="0"/>
            <a:ea typeface="Times New Roman" panose="02020603050405020304" pitchFamily="18" charset="0"/>
          </a:endParaRPr>
        </a:p>
        <a:p>
          <a:pPr algn="ctr">
            <a:lnSpc>
              <a:spcPct val="100000"/>
            </a:lnSpc>
            <a:buNone/>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&lt;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 V</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2000">
            <a:effectLst/>
            <a:latin typeface="Times New Roman" panose="02020603050405020304" pitchFamily="18" charset="0"/>
            <a:ea typeface="Times New Roman" panose="02020603050405020304" pitchFamily="18" charset="0"/>
          </a:endParaRPr>
        </a:p>
        <a:p>
          <a:pPr algn="ctr">
            <a:lnSpc>
              <a:spcPct val="100000"/>
            </a:lnSpc>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&gt;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baseline="30000">
              <a:effectLst/>
              <a:latin typeface="+mn-lt"/>
              <a:ea typeface="+mn-ea"/>
              <a:cs typeface="+mn-cs"/>
            </a:rPr>
            <a:t>–</a:t>
          </a:r>
          <a:endParaRPr lang="en-CA" sz="1800" baseline="30000">
            <a:effectLst/>
            <a:latin typeface="Times New Roman" panose="02020603050405020304" pitchFamily="18" charset="0"/>
            <a:ea typeface="Times New Roman" panose="02020603050405020304" pitchFamily="18" charset="0"/>
          </a:endParaRP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xmlns:a14="http://schemas.microsoft.com/office/drawing/2010/main">
      <mc:Choice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mlns="">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499945</xdr:colOff>
      <xdr:row>9</xdr:row>
      <xdr:rowOff>179294</xdr:rowOff>
    </xdr:from>
    <xdr:to>
      <xdr:col>22</xdr:col>
      <xdr:colOff>112993</xdr:colOff>
      <xdr:row>21</xdr:row>
      <xdr:rowOff>18559</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21</xdr:row>
      <xdr:rowOff>173808</xdr:rowOff>
    </xdr:from>
    <xdr:to>
      <xdr:col>24</xdr:col>
      <xdr:colOff>231079</xdr:colOff>
      <xdr:row>27</xdr:row>
      <xdr:rowOff>31468</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697517" y="4689779"/>
          <a:ext cx="6381356" cy="1000660"/>
        </a:xfrm>
        <a:prstGeom prst="rect">
          <a:avLst/>
        </a:prstGeom>
      </xdr:spPr>
    </xdr:pic>
    <xdr:clientData/>
  </xdr:twoCellAnchor>
  <xdr:twoCellAnchor>
    <xdr:from>
      <xdr:col>12</xdr:col>
      <xdr:colOff>281665</xdr:colOff>
      <xdr:row>9</xdr:row>
      <xdr:rowOff>179294</xdr:rowOff>
    </xdr:from>
    <xdr:to>
      <xdr:col>17</xdr:col>
      <xdr:colOff>430492</xdr:colOff>
      <xdr:row>21</xdr:row>
      <xdr:rowOff>7844</xdr:rowOff>
    </xdr:to>
    <mc:AlternateContent xmlns:mc="http://schemas.openxmlformats.org/markup-compatibility/2006" xmlns:a14="http://schemas.microsoft.com/office/drawing/2010/main">
      <mc:Choice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mlns="">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pP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(𝑅_𝐹/𝑅_𝐵 )^2+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US" sz="1100" b="0">
                <a:solidFill>
                  <a:schemeClr val="tx1"/>
                </a:solidFill>
              </a:endParaRPr>
            </a:p>
          </xdr:txBody>
        </xdr:sp>
      </mc:Fallback>
    </mc:AlternateContent>
    <xdr:clientData/>
  </xdr:twoCellAnchor>
  <xdr:twoCellAnchor>
    <xdr:from>
      <xdr:col>14</xdr:col>
      <xdr:colOff>89647</xdr:colOff>
      <xdr:row>29</xdr:row>
      <xdr:rowOff>147918</xdr:rowOff>
    </xdr:from>
    <xdr:to>
      <xdr:col>20</xdr:col>
      <xdr:colOff>270622</xdr:colOff>
      <xdr:row>55</xdr:row>
      <xdr:rowOff>186018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18</xdr:row>
      <xdr:rowOff>66675</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200" b="0" i="1">
                <a:latin typeface="Cambria Math" panose="02040503050406030204" pitchFamily="18" charset="0"/>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i="1">
                <a:latin typeface="Cambria Math" panose="02040503050406030204" pitchFamily="18" charset="0"/>
              </a:endParaRPr>
            </a:p>
            <a:p>
              <a:pPr algn="ctr">
                <a:spcAft>
                  <a:spcPts val="300"/>
                </a:spcAft>
              </a:pP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586129</xdr:colOff>
      <xdr:row>0</xdr:row>
      <xdr:rowOff>546344</xdr:rowOff>
    </xdr:from>
    <xdr:to>
      <xdr:col>18</xdr:col>
      <xdr:colOff>73149</xdr:colOff>
      <xdr:row>11</xdr:row>
      <xdr:rowOff>65438</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298453" y="546344"/>
          <a:ext cx="3722843" cy="2141270"/>
        </a:xfrm>
        <a:prstGeom prst="rect">
          <a:avLst/>
        </a:prstGeom>
      </xdr:spPr>
    </xdr:pic>
    <xdr:clientData/>
  </xdr:twoCellAnchor>
  <xdr:twoCellAnchor>
    <xdr:from>
      <xdr:col>12</xdr:col>
      <xdr:colOff>320768</xdr:colOff>
      <xdr:row>11</xdr:row>
      <xdr:rowOff>111355</xdr:rowOff>
    </xdr:from>
    <xdr:to>
      <xdr:col>18</xdr:col>
      <xdr:colOff>162133</xdr:colOff>
      <xdr:row>23</xdr:row>
      <xdr:rowOff>12139</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r>
                <a:rPr lang="en-US" sz="1400" i="0" kern="1200">
                  <a:solidFill>
                    <a:schemeClr val="tx1"/>
                  </a:solidFill>
                  <a:effectLst/>
                  <a:latin typeface="Cambria Math" panose="02040503050406030204" pitchFamily="18" charset="0"/>
                  <a:ea typeface="+mn-ea"/>
                  <a:cs typeface="+mn-cs"/>
                </a:rPr>
                <a:t>𝑉_𝑜𝑢𝑡=−𝑅_𝐹/𝑅_</a:t>
              </a:r>
              <a:r>
                <a:rPr lang="en-US" sz="1400" b="0" i="0" kern="1200">
                  <a:solidFill>
                    <a:schemeClr val="tx1"/>
                  </a:solidFill>
                  <a:effectLst/>
                  <a:latin typeface="Cambria Math" panose="02040503050406030204" pitchFamily="18" charset="0"/>
                  <a:ea typeface="+mn-ea"/>
                  <a:cs typeface="+mn-cs"/>
                </a:rPr>
                <a:t>1  </a:t>
              </a:r>
              <a:r>
                <a:rPr lang="en-US" sz="1400" i="0" kern="1200">
                  <a:solidFill>
                    <a:schemeClr val="tx1"/>
                  </a:solidFill>
                  <a:effectLst/>
                  <a:latin typeface="Cambria Math" panose="02040503050406030204" pitchFamily="18" charset="0"/>
                  <a:ea typeface="+mn-ea"/>
                  <a:cs typeface="+mn-cs"/>
                </a:rPr>
                <a:t>(𝑉_1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14</xdr:col>
      <xdr:colOff>458158</xdr:colOff>
      <xdr:row>17</xdr:row>
      <xdr:rowOff>26848</xdr:rowOff>
    </xdr:from>
    <xdr:to>
      <xdr:col>22</xdr:col>
      <xdr:colOff>200305</xdr:colOff>
      <xdr:row>30</xdr:row>
      <xdr:rowOff>128051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r>
                <a:rPr lang="en-US" sz="1400" i="0" kern="1200">
                  <a:solidFill>
                    <a:schemeClr val="tx1"/>
                  </a:solidFill>
                  <a:effectLst/>
                  <a:latin typeface="Cambria Math" panose="02040503050406030204" pitchFamily="18" charset="0"/>
                  <a:ea typeface="+mn-ea"/>
                  <a:cs typeface="+mn-cs"/>
                </a:rPr>
                <a:t>𝑉_𝑜𝑢𝑡=(1+𝑅_𝐹/𝑅_3 )[(𝑉_1+𝑉_2)/</a:t>
              </a:r>
              <a:r>
                <a:rPr lang="en-CA"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𝑉_1</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203030</xdr:colOff>
      <xdr:row>5</xdr:row>
      <xdr:rowOff>38289</xdr:rowOff>
    </xdr:from>
    <xdr:to>
      <xdr:col>18</xdr:col>
      <xdr:colOff>461770</xdr:colOff>
      <xdr:row>16</xdr:row>
      <xdr:rowOff>78638</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8585030" y="1450230"/>
          <a:ext cx="2679211" cy="2158261"/>
        </a:xfrm>
        <a:prstGeom prst="rect">
          <a:avLst/>
        </a:prstGeom>
      </xdr:spPr>
    </xdr:pic>
    <xdr:clientData/>
  </xdr:twoCellAnchor>
  <xdr:twoCellAnchor editAs="oneCell">
    <xdr:from>
      <xdr:col>18</xdr:col>
      <xdr:colOff>517924</xdr:colOff>
      <xdr:row>5</xdr:row>
      <xdr:rowOff>51438</xdr:rowOff>
    </xdr:from>
    <xdr:to>
      <xdr:col>23</xdr:col>
      <xdr:colOff>163548</xdr:colOff>
      <xdr:row>16</xdr:row>
      <xdr:rowOff>110440</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320395" y="1463379"/>
          <a:ext cx="2671212" cy="2176914"/>
        </a:xfrm>
        <a:prstGeom prst="rect">
          <a:avLst/>
        </a:prstGeom>
      </xdr:spPr>
    </xdr:pic>
    <xdr:clientData/>
  </xdr:twoCellAnchor>
  <xdr:twoCellAnchor>
    <xdr:from>
      <xdr:col>14</xdr:col>
      <xdr:colOff>134471</xdr:colOff>
      <xdr:row>5</xdr:row>
      <xdr:rowOff>33619</xdr:rowOff>
    </xdr:from>
    <xdr:to>
      <xdr:col>14</xdr:col>
      <xdr:colOff>593912</xdr:colOff>
      <xdr:row>10</xdr:row>
      <xdr:rowOff>22413</xdr:rowOff>
    </xdr:to>
    <xdr:sp macro="" textlink="">
      <xdr:nvSpPr>
        <xdr:cNvPr id="3" name="Oval 2">
          <a:extLst>
            <a:ext uri="{FF2B5EF4-FFF2-40B4-BE49-F238E27FC236}">
              <a16:creationId xmlns:a16="http://schemas.microsoft.com/office/drawing/2014/main" id="{EE3C1E3B-B590-1B81-5FF4-1430F3B2CB4E}"/>
            </a:ext>
          </a:extLst>
        </xdr:cNvPr>
        <xdr:cNvSpPr/>
      </xdr:nvSpPr>
      <xdr:spPr>
        <a:xfrm>
          <a:off x="8516471" y="1445560"/>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526676</xdr:colOff>
      <xdr:row>5</xdr:row>
      <xdr:rowOff>100854</xdr:rowOff>
    </xdr:from>
    <xdr:to>
      <xdr:col>19</xdr:col>
      <xdr:colOff>381000</xdr:colOff>
      <xdr:row>10</xdr:row>
      <xdr:rowOff>89648</xdr:rowOff>
    </xdr:to>
    <xdr:sp macro="" textlink="">
      <xdr:nvSpPr>
        <xdr:cNvPr id="6" name="Oval 5">
          <a:extLst>
            <a:ext uri="{FF2B5EF4-FFF2-40B4-BE49-F238E27FC236}">
              <a16:creationId xmlns:a16="http://schemas.microsoft.com/office/drawing/2014/main" id="{17CC372C-40BE-4526-9948-DCAE0154AF57}"/>
            </a:ext>
          </a:extLst>
        </xdr:cNvPr>
        <xdr:cNvSpPr/>
      </xdr:nvSpPr>
      <xdr:spPr>
        <a:xfrm>
          <a:off x="11329147" y="1512795"/>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twoCellAnchor>
    <xdr:from>
      <xdr:col>14</xdr:col>
      <xdr:colOff>11205</xdr:colOff>
      <xdr:row>5</xdr:row>
      <xdr:rowOff>1</xdr:rowOff>
    </xdr:from>
    <xdr:to>
      <xdr:col>14</xdr:col>
      <xdr:colOff>526676</xdr:colOff>
      <xdr:row>9</xdr:row>
      <xdr:rowOff>112059</xdr:rowOff>
    </xdr:to>
    <xdr:sp macro="" textlink="">
      <xdr:nvSpPr>
        <xdr:cNvPr id="7" name="Oval 6">
          <a:extLst>
            <a:ext uri="{FF2B5EF4-FFF2-40B4-BE49-F238E27FC236}">
              <a16:creationId xmlns:a16="http://schemas.microsoft.com/office/drawing/2014/main" id="{18F74284-F628-47D2-8200-720B66D2FC89}"/>
            </a:ext>
          </a:extLst>
        </xdr:cNvPr>
        <xdr:cNvSpPr/>
      </xdr:nvSpPr>
      <xdr:spPr>
        <a:xfrm>
          <a:off x="8393205" y="1411942"/>
          <a:ext cx="515471" cy="874058"/>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425823</xdr:colOff>
      <xdr:row>5</xdr:row>
      <xdr:rowOff>56030</xdr:rowOff>
    </xdr:from>
    <xdr:to>
      <xdr:col>19</xdr:col>
      <xdr:colOff>280147</xdr:colOff>
      <xdr:row>9</xdr:row>
      <xdr:rowOff>179294</xdr:rowOff>
    </xdr:to>
    <xdr:sp macro="" textlink="">
      <xdr:nvSpPr>
        <xdr:cNvPr id="8" name="Oval 7">
          <a:extLst>
            <a:ext uri="{FF2B5EF4-FFF2-40B4-BE49-F238E27FC236}">
              <a16:creationId xmlns:a16="http://schemas.microsoft.com/office/drawing/2014/main" id="{25DA95CC-2681-4CE5-A469-E329E26BBD88}"/>
            </a:ext>
          </a:extLst>
        </xdr:cNvPr>
        <xdr:cNvSpPr/>
      </xdr:nvSpPr>
      <xdr:spPr>
        <a:xfrm>
          <a:off x="11228294" y="1467971"/>
          <a:ext cx="459441" cy="885264"/>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290513</xdr:colOff>
      <xdr:row>0</xdr:row>
      <xdr:rowOff>167084</xdr:rowOff>
    </xdr:from>
    <xdr:to>
      <xdr:col>16</xdr:col>
      <xdr:colOff>280362</xdr:colOff>
      <xdr:row>11</xdr:row>
      <xdr:rowOff>129381</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7643813" y="167084"/>
          <a:ext cx="2428249" cy="2524522"/>
        </a:xfrm>
        <a:prstGeom prst="rect">
          <a:avLst/>
        </a:prstGeom>
      </xdr:spPr>
    </xdr:pic>
    <xdr:clientData/>
  </xdr:twoCellAnchor>
  <xdr:twoCellAnchor>
    <xdr:from>
      <xdr:col>12</xdr:col>
      <xdr:colOff>460377</xdr:colOff>
      <xdr:row>12</xdr:row>
      <xdr:rowOff>30561</xdr:rowOff>
    </xdr:from>
    <xdr:to>
      <xdr:col>16</xdr:col>
      <xdr:colOff>450453</xdr:colOff>
      <xdr:row>15</xdr:row>
      <xdr:rowOff>26963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419497</xdr:colOff>
      <xdr:row>12</xdr:row>
      <xdr:rowOff>137319</xdr:rowOff>
    </xdr:from>
    <xdr:to>
      <xdr:col>17</xdr:col>
      <xdr:colOff>355600</xdr:colOff>
      <xdr:row>15</xdr:row>
      <xdr:rowOff>133721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452438</xdr:colOff>
      <xdr:row>0</xdr:row>
      <xdr:rowOff>128984</xdr:rowOff>
    </xdr:from>
    <xdr:to>
      <xdr:col>17</xdr:col>
      <xdr:colOff>5954</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805738" y="128984"/>
          <a:ext cx="2601516" cy="26862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78237</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596511</xdr:colOff>
      <xdr:row>6</xdr:row>
      <xdr:rowOff>67875</xdr:rowOff>
    </xdr:from>
    <xdr:to>
      <xdr:col>22</xdr:col>
      <xdr:colOff>24096</xdr:colOff>
      <xdr:row>22</xdr:row>
      <xdr:rowOff>11046</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den>
                  </m:f>
                  <m:r>
                    <a:rPr lang="en-CA" sz="1200" b="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CA" sz="1200" b="1" i="1" kern="1200">
                      <a:solidFill>
                        <a:schemeClr val="tx1"/>
                      </a:solidFill>
                      <a:effectLst/>
                      <a:latin typeface="Cambria Math" panose="02040503050406030204" pitchFamily="18" charset="0"/>
                      <a:ea typeface="+mn-ea"/>
                      <a:cs typeface="+mn-cs"/>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𝐺𝑎𝑖𝑛</m:t>
                      </m:r>
                    </m:e>
                    <m:sub>
                      <m:r>
                        <a:rPr lang="en-CA" sz="1200" b="0" i="1" kern="1200">
                          <a:solidFill>
                            <a:schemeClr val="tx1"/>
                          </a:solidFill>
                          <a:effectLst/>
                          <a:latin typeface="Cambria Math" panose="02040503050406030204" pitchFamily="18" charset="0"/>
                          <a:ea typeface="+mn-ea"/>
                          <a:cs typeface="+mn-cs"/>
                        </a:rPr>
                        <m:t>𝑑𝑏</m:t>
                      </m:r>
                    </m:sub>
                  </m:sSub>
                  <m:r>
                    <a:rPr lang="en-CA" sz="1200" b="0" i="1" kern="1200">
                      <a:solidFill>
                        <a:schemeClr val="tx1"/>
                      </a:solidFill>
                      <a:effectLst/>
                      <a:latin typeface="Cambria Math" panose="02040503050406030204" pitchFamily="18" charset="0"/>
                      <a:ea typeface="+mn-ea"/>
                      <a:cs typeface="+mn-cs"/>
                    </a:rPr>
                    <m:t>=20</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𝑙𝑜𝑔</m:t>
                  </m:r>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num>
                        <m:den>
                          <m:rad>
                            <m:radPr>
                              <m:degHide m:val="on"/>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e>
                  </m:d>
                </m:oMath>
              </a14:m>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oMath>
              </a14:m>
              <a:endParaRPr lang="en-CA" sz="1200" kern="1200">
                <a:solidFill>
                  <a:schemeClr val="tx1"/>
                </a:solidFill>
                <a:effectLst/>
                <a:latin typeface="+mn-lt"/>
                <a:ea typeface="+mn-ea"/>
                <a:cs typeface="+mn-cs"/>
              </a:endParaRPr>
            </a:p>
          </xdr:txBody>
        </xdr:sp>
      </mc:Choice>
      <mc:Fallback xmlns="">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𝑜𝑢𝑡</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𝑖𝑛</a:t>
              </a:r>
              <a:r>
                <a:rPr lang="en-US" sz="1200" b="0" i="0" kern="1200">
                  <a:solidFill>
                    <a:schemeClr val="tx1"/>
                  </a:solidFill>
                  <a:effectLst/>
                  <a:latin typeface="Cambria Math" panose="02040503050406030204" pitchFamily="18" charset="0"/>
                  <a:ea typeface="+mn-ea"/>
                  <a:cs typeface="+mn-cs"/>
                </a:rPr>
                <a:t> </a:t>
              </a:r>
              <a:r>
                <a:rPr lang="en-CA" sz="1200" b="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〖𝐺𝑎𝑖𝑛〗_𝑑𝑏=20</a:t>
              </a:r>
              <a:r>
                <a:rPr lang="en-CA" sz="1200" b="0" i="0" kern="1200">
                  <a:solidFill>
                    <a:schemeClr val="tx1"/>
                  </a:solidFill>
                  <a:effectLst/>
                  <a:latin typeface="Cambria Math" panose="02040503050406030204" pitchFamily="18" charset="0"/>
                  <a:ea typeface="Cambria Math" panose="02040503050406030204" pitchFamily="18" charset="0"/>
                  <a:cs typeface="+mn-cs"/>
                </a:rPr>
                <a:t>×𝑙𝑜𝑔((𝑓/𝑓_𝑐 )/√(1+(𝑓/𝑓_𝑐 )^2 ))</a:t>
              </a:r>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(𝑅_1/√(〖𝑅_1〗^2+〖𝑋_𝐶〗^2 ))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22</xdr:col>
      <xdr:colOff>458033</xdr:colOff>
      <xdr:row>0</xdr:row>
      <xdr:rowOff>225135</xdr:rowOff>
    </xdr:from>
    <xdr:to>
      <xdr:col>29</xdr:col>
      <xdr:colOff>558581</xdr:colOff>
      <xdr:row>42</xdr:row>
      <xdr:rowOff>69584</xdr:rowOff>
    </xdr:to>
    <xdr:pic>
      <xdr:nvPicPr>
        <xdr:cNvPr id="9" name="Picture 8">
          <a:extLst>
            <a:ext uri="{FF2B5EF4-FFF2-40B4-BE49-F238E27FC236}">
              <a16:creationId xmlns:a16="http://schemas.microsoft.com/office/drawing/2014/main" id="{DAB103AB-7795-4C0B-AD8A-933E04D7A915}"/>
            </a:ext>
          </a:extLst>
        </xdr:cNvPr>
        <xdr:cNvPicPr>
          <a:picLocks noChangeAspect="1"/>
        </xdr:cNvPicPr>
      </xdr:nvPicPr>
      <xdr:blipFill>
        <a:blip xmlns:r="http://schemas.openxmlformats.org/officeDocument/2006/relationships" r:embed="rId5"/>
        <a:stretch>
          <a:fillRect/>
        </a:stretch>
      </xdr:blipFill>
      <xdr:spPr>
        <a:xfrm>
          <a:off x="14399169" y="225135"/>
          <a:ext cx="4343503" cy="836499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xmlns:a14="http://schemas.microsoft.com/office/drawing/2010/main">
      <mc:Choice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printerSettings" Target="../printerSettings/printerSettings25.bin"/><Relationship Id="rId1" Type="http://schemas.openxmlformats.org/officeDocument/2006/relationships/hyperlink" Target="https://ww1.microchip.com/downloads/en/DeviceDoc/20001811F.pdf"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85" zoomScaleNormal="85"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85" zoomScaleNormal="85"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274</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214</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224</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218</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N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4" ht="47.25" thickBot="1">
      <c r="B1" s="1" t="s">
        <v>43</v>
      </c>
      <c r="N1" s="32" t="s">
        <v>280</v>
      </c>
    </row>
    <row r="2" spans="2:14" ht="15.75" thickBot="1">
      <c r="B2" s="2" t="s">
        <v>12</v>
      </c>
      <c r="C2" s="4">
        <v>1</v>
      </c>
      <c r="D2" s="2" t="s">
        <v>16</v>
      </c>
      <c r="G2" s="6" t="s">
        <v>36</v>
      </c>
    </row>
    <row r="3" spans="2:14" ht="15.75" thickBot="1">
      <c r="B3" s="2" t="s">
        <v>15</v>
      </c>
      <c r="C3" s="4">
        <v>3.5</v>
      </c>
      <c r="D3" s="2" t="s">
        <v>16</v>
      </c>
      <c r="G3" s="2" t="s">
        <v>9</v>
      </c>
      <c r="H3" s="4">
        <v>10</v>
      </c>
      <c r="I3" s="2" t="s">
        <v>18</v>
      </c>
    </row>
    <row r="4" spans="2:14" ht="15.75" thickBot="1">
      <c r="B4" s="2" t="s">
        <v>0</v>
      </c>
      <c r="C4" s="3">
        <v>0</v>
      </c>
      <c r="D4" s="2" t="s">
        <v>17</v>
      </c>
      <c r="G4" s="2" t="s">
        <v>10</v>
      </c>
      <c r="H4" s="15">
        <v>0</v>
      </c>
      <c r="I4" s="2" t="s">
        <v>19</v>
      </c>
    </row>
    <row r="5" spans="2:14" ht="15.75" thickBot="1">
      <c r="B5" s="2" t="s">
        <v>1</v>
      </c>
      <c r="C5" s="3">
        <f>-C3/C2</f>
        <v>-3.5</v>
      </c>
      <c r="D5" s="2" t="s">
        <v>39</v>
      </c>
      <c r="G5" s="2" t="s">
        <v>31</v>
      </c>
      <c r="H5" s="4">
        <v>0.5</v>
      </c>
      <c r="I5" s="2" t="s">
        <v>32</v>
      </c>
    </row>
    <row r="6" spans="2:14" ht="15.75" thickBot="1">
      <c r="B6" s="2" t="s">
        <v>25</v>
      </c>
      <c r="C6" s="4">
        <v>1</v>
      </c>
      <c r="D6" s="2" t="s">
        <v>38</v>
      </c>
    </row>
    <row r="8" spans="2:14" ht="15.75" thickBot="1">
      <c r="E8" s="6" t="s">
        <v>30</v>
      </c>
      <c r="G8" s="6" t="s">
        <v>33</v>
      </c>
    </row>
    <row r="9" spans="2:14" ht="15.75" thickBot="1">
      <c r="B9" s="7" t="s">
        <v>6</v>
      </c>
      <c r="C9" s="7" t="s">
        <v>7</v>
      </c>
      <c r="D9" s="7" t="s">
        <v>3</v>
      </c>
      <c r="E9" s="7" t="s">
        <v>3</v>
      </c>
      <c r="G9" s="6" t="s">
        <v>29</v>
      </c>
      <c r="H9" s="4">
        <v>2.5</v>
      </c>
      <c r="I9" s="2" t="s">
        <v>17</v>
      </c>
    </row>
    <row r="10" spans="2:14">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14">
      <c r="B11" s="2">
        <v>0.1</v>
      </c>
      <c r="C11" s="2">
        <f t="shared" si="0"/>
        <v>1.0998334166468282</v>
      </c>
      <c r="D11" s="2">
        <f t="shared" si="1"/>
        <v>-3.8494169582638986</v>
      </c>
      <c r="E11" s="2">
        <f t="shared" si="2"/>
        <v>0.5</v>
      </c>
    </row>
    <row r="12" spans="2:14">
      <c r="B12" s="2">
        <v>0.2</v>
      </c>
      <c r="C12" s="2">
        <f t="shared" si="0"/>
        <v>1.1986693307950613</v>
      </c>
      <c r="D12" s="2">
        <f t="shared" si="1"/>
        <v>-4.1953426577827146</v>
      </c>
      <c r="E12" s="2">
        <f t="shared" si="2"/>
        <v>0.5</v>
      </c>
    </row>
    <row r="13" spans="2:14">
      <c r="B13" s="2">
        <v>1.2</v>
      </c>
      <c r="C13" s="2">
        <f t="shared" si="0"/>
        <v>1.9320390859672263</v>
      </c>
      <c r="D13" s="2">
        <f t="shared" si="1"/>
        <v>-6.7621368008852922</v>
      </c>
      <c r="E13" s="2">
        <f t="shared" si="2"/>
        <v>0.5</v>
      </c>
    </row>
    <row r="14" spans="2:14">
      <c r="B14" s="2">
        <v>2.2000000000000002</v>
      </c>
      <c r="C14" s="2">
        <f t="shared" si="0"/>
        <v>1.8084964038195901</v>
      </c>
      <c r="D14" s="2">
        <f t="shared" si="1"/>
        <v>-6.3297374133685658</v>
      </c>
      <c r="E14" s="2">
        <f t="shared" si="2"/>
        <v>0.5</v>
      </c>
    </row>
    <row r="15" spans="2:14">
      <c r="B15" s="2">
        <v>3.2</v>
      </c>
      <c r="C15" s="2">
        <f t="shared" si="0"/>
        <v>0.94162585657241993</v>
      </c>
      <c r="D15" s="2">
        <f t="shared" si="1"/>
        <v>-3.2956904980034696</v>
      </c>
      <c r="E15" s="2">
        <f t="shared" si="2"/>
        <v>0.5</v>
      </c>
    </row>
    <row r="16" spans="2:14">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256</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259</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250</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251</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258</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253</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254</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214</v>
      </c>
      <c r="H8" s="6" t="s">
        <v>33</v>
      </c>
    </row>
    <row r="9" spans="2:10" ht="15.75" thickBot="1">
      <c r="B9" s="2" t="s">
        <v>215</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216</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273</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214</v>
      </c>
      <c r="H9" s="6" t="s">
        <v>29</v>
      </c>
      <c r="I9" s="4">
        <v>1</v>
      </c>
      <c r="J9" s="2" t="s">
        <v>17</v>
      </c>
    </row>
    <row r="10" spans="2:10" ht="15.75" thickBot="1">
      <c r="B10" s="2" t="s">
        <v>215</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216</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279</v>
      </c>
    </row>
    <row r="34" spans="2:16">
      <c r="B34" s="2">
        <f t="shared" si="2"/>
        <v>1.2000000000000004E-2</v>
      </c>
      <c r="C34" s="2">
        <f t="shared" si="0"/>
        <v>1.1755705045849385E-2</v>
      </c>
      <c r="D34" s="2">
        <f t="shared" si="3"/>
        <v>1.3945262731506203</v>
      </c>
      <c r="E34" s="2">
        <f t="shared" si="1"/>
        <v>1.3945262731506203</v>
      </c>
      <c r="F34" s="28">
        <f t="shared" si="4"/>
        <v>1.3945262731506201</v>
      </c>
      <c r="P34" s="2" t="s">
        <v>278</v>
      </c>
    </row>
    <row r="35" spans="2:16">
      <c r="B35" s="2">
        <f t="shared" si="2"/>
        <v>1.2800000000000004E-2</v>
      </c>
      <c r="C35" s="2">
        <f t="shared" si="0"/>
        <v>-7.3624910536936403E-3</v>
      </c>
      <c r="D35" s="2">
        <f t="shared" si="3"/>
        <v>3.1923481315904225</v>
      </c>
      <c r="E35" s="2">
        <f t="shared" si="1"/>
        <v>3.1923481315904225</v>
      </c>
      <c r="F35" s="28">
        <f t="shared" si="4"/>
        <v>3.192348131590423</v>
      </c>
      <c r="P35" s="2" t="s">
        <v>277</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232</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231</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238</v>
      </c>
      <c r="Y5" s="31" t="s">
        <v>239</v>
      </c>
      <c r="Z5" s="31" t="s">
        <v>17</v>
      </c>
    </row>
    <row r="6" spans="2:26" ht="15.75" thickBot="1">
      <c r="B6" s="2" t="s">
        <v>14</v>
      </c>
      <c r="C6" s="4">
        <v>1</v>
      </c>
      <c r="D6" s="2" t="s">
        <v>16</v>
      </c>
      <c r="X6" s="31">
        <v>-100</v>
      </c>
      <c r="Y6" s="31">
        <v>-3.5539999999999998</v>
      </c>
      <c r="Z6" s="31">
        <f>Y6/1000</f>
        <v>-3.5539999999999999E-3</v>
      </c>
    </row>
    <row r="7" spans="2:26" ht="15.75" thickBot="1">
      <c r="B7" s="2" t="s">
        <v>234</v>
      </c>
      <c r="C7" s="4">
        <v>1</v>
      </c>
      <c r="D7" s="2" t="s">
        <v>16</v>
      </c>
      <c r="X7" s="31">
        <v>-90</v>
      </c>
      <c r="Y7" s="31">
        <v>-3.2429999999999999</v>
      </c>
      <c r="Z7" s="31">
        <f t="shared" ref="Z7:Z26" si="0">Y7/1000</f>
        <v>-3.2429999999999998E-3</v>
      </c>
    </row>
    <row r="8" spans="2:26" ht="15.75" thickBot="1">
      <c r="B8" s="2" t="s">
        <v>235</v>
      </c>
      <c r="C8" s="4">
        <v>1</v>
      </c>
      <c r="D8" s="2" t="s">
        <v>16</v>
      </c>
      <c r="G8" s="6" t="s">
        <v>33</v>
      </c>
      <c r="X8" s="31">
        <v>-80</v>
      </c>
      <c r="Y8" s="31">
        <v>-2.92</v>
      </c>
      <c r="Z8" s="31">
        <f t="shared" si="0"/>
        <v>-2.9199999999999999E-3</v>
      </c>
    </row>
    <row r="9" spans="2:26" ht="15.75" thickBot="1">
      <c r="B9" s="2" t="s">
        <v>236</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232</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237</v>
      </c>
      <c r="H11" s="3">
        <f>H9*Z28+Z29</f>
        <v>-12.629615765618523</v>
      </c>
      <c r="I11" s="17" t="s">
        <v>242</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233</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240</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241</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244</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245</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246</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243</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260</v>
      </c>
    </row>
    <row r="56" spans="31:31">
      <c r="AE56" s="2" t="s">
        <v>261</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85" zoomScaleNormal="85"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230</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226</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214</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223</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220</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218</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219</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214</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223</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Z28" s="6" t="s">
        <v>281</v>
      </c>
      <c r="AA28" s="30" t="s">
        <v>220</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34">
      <c r="B33" s="2">
        <f t="shared" si="2"/>
        <v>2.5600000000000002E-3</v>
      </c>
      <c r="C33" s="2">
        <f t="shared" si="0"/>
        <v>-0.3681245526846787</v>
      </c>
      <c r="D33" s="2">
        <f t="shared" si="3"/>
        <v>-0.67982776543008083</v>
      </c>
      <c r="E33" s="2">
        <f t="shared" si="1"/>
        <v>-0.67982776543008083</v>
      </c>
      <c r="F33" s="28">
        <f t="shared" si="4"/>
        <v>-0.67982776543008072</v>
      </c>
      <c r="G33" s="28"/>
    </row>
    <row r="34" spans="2:34">
      <c r="B34" s="2">
        <f t="shared" si="2"/>
        <v>2.7200000000000002E-3</v>
      </c>
      <c r="C34" s="2">
        <f t="shared" si="0"/>
        <v>-0.98228725072868905</v>
      </c>
      <c r="D34" s="2">
        <f t="shared" si="3"/>
        <v>-1.8140222970819937</v>
      </c>
      <c r="E34" s="2">
        <f t="shared" si="1"/>
        <v>-1.8140222970819937</v>
      </c>
      <c r="F34" s="28">
        <f t="shared" si="4"/>
        <v>-1.8140222970819935</v>
      </c>
      <c r="G34" s="28"/>
    </row>
    <row r="35" spans="2:34">
      <c r="B35" s="2">
        <f t="shared" si="2"/>
        <v>2.8800000000000002E-3</v>
      </c>
      <c r="C35" s="2">
        <f t="shared" si="0"/>
        <v>-0.68454710592868862</v>
      </c>
      <c r="D35" s="2">
        <f t="shared" si="3"/>
        <v>-1.2641757415016834</v>
      </c>
      <c r="E35" s="2">
        <f t="shared" si="1"/>
        <v>-1.2641757415016834</v>
      </c>
      <c r="F35" s="28">
        <f t="shared" si="4"/>
        <v>-1.2641757415016832</v>
      </c>
      <c r="G35" s="28"/>
    </row>
    <row r="36" spans="2:34">
      <c r="B36" s="2">
        <f t="shared" si="2"/>
        <v>3.0400000000000002E-3</v>
      </c>
      <c r="C36" s="2">
        <f t="shared" si="0"/>
        <v>0.24868988716485269</v>
      </c>
      <c r="D36" s="2">
        <f t="shared" si="3"/>
        <v>0.45926382536390181</v>
      </c>
      <c r="E36" s="2">
        <f t="shared" si="1"/>
        <v>0.45926382536390181</v>
      </c>
      <c r="F36" s="28">
        <f t="shared" si="4"/>
        <v>0.45926382536390176</v>
      </c>
      <c r="G36" s="28"/>
      <c r="H36" s="6" t="s">
        <v>65</v>
      </c>
      <c r="AH36" s="2" t="s">
        <v>282</v>
      </c>
    </row>
    <row r="37" spans="2:34">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34">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34">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34">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34">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34">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34">
      <c r="H43" s="12" t="s">
        <v>101</v>
      </c>
      <c r="I43" s="12">
        <f>ROUND(C9,0)</f>
        <v>1000</v>
      </c>
      <c r="J43" s="12" t="s">
        <v>80</v>
      </c>
      <c r="K43" s="13" t="str">
        <f>TRIM(H43)&amp;"   "&amp;TRIM(I43)&amp;" "&amp;TRIM(J43)</f>
        <v>f,signal:   1000 Hz</v>
      </c>
    </row>
    <row r="44" spans="2:34">
      <c r="B44" s="6" t="s">
        <v>92</v>
      </c>
    </row>
    <row r="45" spans="2:34" ht="15.75">
      <c r="B45" s="14"/>
      <c r="C45" s="2" t="s">
        <v>95</v>
      </c>
    </row>
    <row r="46" spans="2:34">
      <c r="B46" s="7" t="s">
        <v>93</v>
      </c>
      <c r="C46" s="7" t="s">
        <v>94</v>
      </c>
      <c r="D46" s="7" t="s">
        <v>97</v>
      </c>
      <c r="E46" s="7" t="s">
        <v>218</v>
      </c>
    </row>
    <row r="47" spans="2:34">
      <c r="B47" s="2">
        <v>1</v>
      </c>
      <c r="C47" s="2">
        <f>20*LOG((1+($C$3/$C$2)*(1/SQRT(1+(B47/$C$11)^2))))</f>
        <v>6.0205990560168896</v>
      </c>
      <c r="D47" s="2">
        <f t="shared" ref="D47:D78" si="6">1/(2*PI()*B47*$C$4*0.000001)</f>
        <v>1591549.4309189534</v>
      </c>
      <c r="E47" s="2">
        <f>20*LOG((1+(1/SQRT((1/$D47)^2+(1/($C$3*1000))^2))/($C$2*1000)))</f>
        <v>6.0205990560168896</v>
      </c>
    </row>
    <row r="48" spans="2:34">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275</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214</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216</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217</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276</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214</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224</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c r="O28" s="2" t="s">
        <v>283</v>
      </c>
    </row>
    <row r="29" spans="2:15">
      <c r="B29" s="2">
        <f t="shared" si="2"/>
        <v>1.7600000000000005E-2</v>
      </c>
      <c r="C29" s="2">
        <f t="shared" si="0"/>
        <v>-0.99802672842827134</v>
      </c>
      <c r="D29" s="2">
        <f t="shared" si="3"/>
        <v>-1.9980215421457987</v>
      </c>
      <c r="E29" s="2">
        <f t="shared" si="4"/>
        <v>-1.9980215421457987</v>
      </c>
      <c r="F29" s="28">
        <f t="shared" si="1"/>
        <v>-2.0587613256188724</v>
      </c>
      <c r="O29" s="29" t="s">
        <v>284</v>
      </c>
    </row>
    <row r="30" spans="2:15">
      <c r="B30" s="2">
        <f t="shared" si="2"/>
        <v>1.9200000000000005E-2</v>
      </c>
      <c r="C30" s="2">
        <f t="shared" si="0"/>
        <v>-0.48175367410171166</v>
      </c>
      <c r="D30" s="2">
        <f t="shared" si="3"/>
        <v>-0.96445735514415709</v>
      </c>
      <c r="E30" s="2">
        <f t="shared" si="4"/>
        <v>-0.96445735514415709</v>
      </c>
      <c r="F30" s="28">
        <f t="shared" si="1"/>
        <v>-0.9937768242713797</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218</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257</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R24" s="10" t="s">
        <v>281</v>
      </c>
      <c r="S24" s="30" t="s">
        <v>285</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250</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286</v>
      </c>
    </row>
    <row r="29" spans="2:19">
      <c r="B29" s="2">
        <v>17.2</v>
      </c>
      <c r="C29" s="2">
        <f t="shared" si="1"/>
        <v>2.4003099933958403</v>
      </c>
      <c r="D29" s="2">
        <f t="shared" si="2"/>
        <v>1.4034099273542431</v>
      </c>
      <c r="E29" s="2">
        <f t="shared" si="0"/>
        <v>1.4034099273542431</v>
      </c>
      <c r="G29" s="6" t="s">
        <v>65</v>
      </c>
      <c r="N29" s="2" t="s">
        <v>252</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253</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254</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hyperlinks>
    <hyperlink ref="S24" r:id="rId1" xr:uid="{E325DF4E-EF98-4056-BC79-D38C5CE7ABD3}"/>
  </hyperlinks>
  <pageMargins left="0.7" right="0.7" top="0.75" bottom="0.75" header="0.3" footer="0.3"/>
  <pageSetup orientation="portrait" r:id="rId2"/>
  <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R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8" ht="47.25" thickBot="1">
      <c r="B1" s="1" t="s">
        <v>47</v>
      </c>
    </row>
    <row r="2" spans="2:18" ht="15.75" thickBot="1">
      <c r="B2" s="2" t="s">
        <v>12</v>
      </c>
      <c r="C2" s="4">
        <v>1</v>
      </c>
      <c r="D2" s="2" t="s">
        <v>16</v>
      </c>
      <c r="G2" s="6" t="s">
        <v>36</v>
      </c>
    </row>
    <row r="3" spans="2:18" ht="15.75" thickBot="1">
      <c r="B3" s="2" t="s">
        <v>13</v>
      </c>
      <c r="C3" s="4">
        <v>1</v>
      </c>
      <c r="D3" s="2" t="s">
        <v>16</v>
      </c>
      <c r="G3" s="2" t="s">
        <v>9</v>
      </c>
      <c r="H3" s="4">
        <v>12</v>
      </c>
      <c r="I3" s="2" t="s">
        <v>18</v>
      </c>
    </row>
    <row r="4" spans="2:18" ht="15.75" thickBot="1">
      <c r="B4" s="2" t="s">
        <v>14</v>
      </c>
      <c r="C4" s="4">
        <v>1</v>
      </c>
      <c r="D4" s="2" t="s">
        <v>16</v>
      </c>
      <c r="G4" s="2" t="s">
        <v>10</v>
      </c>
      <c r="H4" s="5">
        <v>-12</v>
      </c>
      <c r="I4" s="2" t="s">
        <v>19</v>
      </c>
    </row>
    <row r="5" spans="2:18" ht="15.75" thickBot="1">
      <c r="B5" s="2" t="s">
        <v>15</v>
      </c>
      <c r="C5" s="4">
        <v>1</v>
      </c>
      <c r="D5" s="2" t="s">
        <v>16</v>
      </c>
      <c r="G5" s="2" t="s">
        <v>31</v>
      </c>
      <c r="H5" s="4">
        <v>1.3</v>
      </c>
      <c r="I5" s="2" t="s">
        <v>32</v>
      </c>
    </row>
    <row r="6" spans="2:18" ht="15.75" thickBot="1">
      <c r="B6" s="2" t="s">
        <v>48</v>
      </c>
      <c r="C6" s="4">
        <v>1</v>
      </c>
      <c r="D6" s="2" t="s">
        <v>17</v>
      </c>
    </row>
    <row r="7" spans="2:18" ht="15.75" thickBot="1">
      <c r="B7" s="2" t="s">
        <v>1</v>
      </c>
      <c r="C7" s="3">
        <f>-C5/C2</f>
        <v>-1</v>
      </c>
      <c r="D7" s="2" t="s">
        <v>39</v>
      </c>
    </row>
    <row r="8" spans="2:18" ht="15.75" thickBot="1">
      <c r="B8" s="2" t="s">
        <v>51</v>
      </c>
      <c r="C8" s="4">
        <v>1</v>
      </c>
      <c r="D8" s="2" t="s">
        <v>52</v>
      </c>
    </row>
    <row r="9" spans="2:18" ht="15.75" thickBot="1">
      <c r="G9" s="6" t="s">
        <v>57</v>
      </c>
    </row>
    <row r="10" spans="2:18" ht="15.75" thickBot="1">
      <c r="E10" s="6" t="s">
        <v>30</v>
      </c>
      <c r="G10" s="6" t="s">
        <v>48</v>
      </c>
      <c r="H10" s="4">
        <v>5.7</v>
      </c>
      <c r="I10" s="2" t="s">
        <v>17</v>
      </c>
      <c r="R10" s="2" t="s">
        <v>247</v>
      </c>
    </row>
    <row r="11" spans="2:18" ht="15.75" thickBot="1">
      <c r="B11" s="7" t="s">
        <v>6</v>
      </c>
      <c r="C11" s="7" t="s">
        <v>50</v>
      </c>
      <c r="D11" s="7" t="s">
        <v>3</v>
      </c>
      <c r="E11" s="7" t="s">
        <v>3</v>
      </c>
      <c r="G11" s="6" t="s">
        <v>50</v>
      </c>
      <c r="H11" s="4">
        <v>7.8</v>
      </c>
      <c r="I11" s="2" t="s">
        <v>17</v>
      </c>
      <c r="R11" s="2" t="s">
        <v>248</v>
      </c>
    </row>
    <row r="12" spans="2:18">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18">
      <c r="B13" s="2">
        <v>0.1</v>
      </c>
      <c r="C13" s="2">
        <f t="shared" si="0"/>
        <v>9.9833416646828155E-2</v>
      </c>
      <c r="D13" s="2">
        <f t="shared" si="1"/>
        <v>0.90016658335317179</v>
      </c>
      <c r="E13" s="2">
        <f t="shared" si="2"/>
        <v>0.90016658335317179</v>
      </c>
    </row>
    <row r="14" spans="2:18">
      <c r="B14" s="2">
        <v>0.2</v>
      </c>
      <c r="C14" s="2">
        <f t="shared" si="0"/>
        <v>0.19866933079506122</v>
      </c>
      <c r="D14" s="2">
        <f t="shared" si="1"/>
        <v>0.80133066920493878</v>
      </c>
      <c r="E14" s="2">
        <f t="shared" si="2"/>
        <v>0.80133066920493878</v>
      </c>
    </row>
    <row r="15" spans="2:18">
      <c r="B15" s="2">
        <v>1.2</v>
      </c>
      <c r="C15" s="2">
        <f t="shared" si="0"/>
        <v>0.93203908596722629</v>
      </c>
      <c r="D15" s="2">
        <f t="shared" si="1"/>
        <v>6.7960914032773712E-2</v>
      </c>
      <c r="E15" s="2">
        <f t="shared" si="2"/>
        <v>6.7960914032773712E-2</v>
      </c>
    </row>
    <row r="16" spans="2:18">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227</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85" zoomScaleNormal="85"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85" zoomScaleNormal="85"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85" zoomScaleNormal="85"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204</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213</v>
      </c>
      <c r="J5" s="19" t="s">
        <v>128</v>
      </c>
      <c r="K5" s="19" t="s">
        <v>126</v>
      </c>
      <c r="L5" s="19"/>
    </row>
    <row r="6" spans="2:12" ht="114" customHeight="1">
      <c r="B6" s="23" t="s">
        <v>143</v>
      </c>
      <c r="C6" s="19" t="s">
        <v>142</v>
      </c>
      <c r="D6" s="24">
        <v>4</v>
      </c>
      <c r="E6" s="19" t="s">
        <v>144</v>
      </c>
      <c r="F6" s="19" t="s">
        <v>164</v>
      </c>
      <c r="G6" s="19" t="s">
        <v>120</v>
      </c>
      <c r="H6" s="19" t="s">
        <v>124</v>
      </c>
      <c r="I6" s="19" t="s">
        <v>213</v>
      </c>
      <c r="J6" s="19" t="s">
        <v>146</v>
      </c>
      <c r="K6" s="19" t="s">
        <v>145</v>
      </c>
      <c r="L6" s="19"/>
    </row>
    <row r="7" spans="2:12" ht="114" customHeight="1">
      <c r="B7" s="23" t="s">
        <v>207</v>
      </c>
      <c r="C7" s="19" t="s">
        <v>205</v>
      </c>
      <c r="D7" s="24">
        <v>1</v>
      </c>
      <c r="E7" s="19" t="s">
        <v>206</v>
      </c>
      <c r="F7" s="19" t="s">
        <v>212</v>
      </c>
      <c r="G7" s="19" t="s">
        <v>208</v>
      </c>
      <c r="H7" s="19" t="s">
        <v>209</v>
      </c>
      <c r="I7" s="19" t="s">
        <v>213</v>
      </c>
      <c r="J7" s="19" t="s">
        <v>210</v>
      </c>
      <c r="K7" s="19" t="s">
        <v>211</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228</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225</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6" ht="46.5">
      <c r="B1" s="1" t="s">
        <v>96</v>
      </c>
    </row>
    <row r="2" spans="2:26" ht="15.75" thickBot="1">
      <c r="B2" s="2" t="s">
        <v>229</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97</v>
      </c>
      <c r="C5" s="3">
        <f>1/(2*PI()*C10*C4*0.000001)</f>
        <v>99.999999999999986</v>
      </c>
      <c r="D5" s="2" t="s">
        <v>214</v>
      </c>
      <c r="H5" s="2" t="s">
        <v>31</v>
      </c>
      <c r="I5" s="4">
        <v>1.2</v>
      </c>
      <c r="J5" s="2" t="s">
        <v>32</v>
      </c>
    </row>
    <row r="6" spans="2:26">
      <c r="B6" s="2" t="s">
        <v>0</v>
      </c>
      <c r="C6" s="3">
        <v>0</v>
      </c>
      <c r="D6" s="2" t="s">
        <v>17</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9.9503719020998915E-2</v>
      </c>
      <c r="J9" s="2" t="s">
        <v>17</v>
      </c>
    </row>
    <row r="10" spans="2:26" ht="15.75" thickBot="1">
      <c r="B10" s="2" t="s">
        <v>84</v>
      </c>
      <c r="C10" s="4">
        <f>C12*10</f>
        <v>15915.494309189537</v>
      </c>
      <c r="D10" s="2" t="s">
        <v>80</v>
      </c>
    </row>
    <row r="11" spans="2:26">
      <c r="B11" s="2" t="s">
        <v>87</v>
      </c>
      <c r="C11" s="3">
        <f>1/C10</f>
        <v>6.2831853071795856E-5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1.0053096491487337E-5</v>
      </c>
      <c r="D14" s="2" t="s">
        <v>86</v>
      </c>
    </row>
    <row r="15" spans="2:26">
      <c r="E15" s="6" t="s">
        <v>30</v>
      </c>
    </row>
    <row r="16" spans="2:26">
      <c r="B16" s="7" t="s">
        <v>85</v>
      </c>
      <c r="C16" s="7" t="s">
        <v>7</v>
      </c>
      <c r="D16" s="7" t="s">
        <v>3</v>
      </c>
      <c r="E16" s="7" t="s">
        <v>3</v>
      </c>
      <c r="F16" s="28" t="s">
        <v>216</v>
      </c>
      <c r="G16" s="28"/>
    </row>
    <row r="17" spans="2:18">
      <c r="B17" s="2">
        <v>0</v>
      </c>
      <c r="C17" s="2">
        <f>$C$9*SIN($B17*$C$10*2*PI())</f>
        <v>0</v>
      </c>
      <c r="D17" s="2">
        <f>C17*(1/(SQRT(1+($C$10/$C$12)^2)))</f>
        <v>0</v>
      </c>
      <c r="E17" s="2">
        <f t="shared" ref="E17:E42" si="0">IF(D17&gt;($I$3-$I$5),($I$3-$I$5),IF(D17&lt;($I$4+$I$5),($I$4+$I$5),D17))</f>
        <v>0</v>
      </c>
      <c r="F17" s="28">
        <f t="shared" ref="F17:F42" si="1">C17*$C$5/SQRT($C$5^2+($C$3*1000)^2)</f>
        <v>0</v>
      </c>
    </row>
    <row r="18" spans="2:18">
      <c r="B18" s="2">
        <f>B17+$C$14</f>
        <v>1.0053096491487337E-5</v>
      </c>
      <c r="C18" s="2">
        <f t="shared" ref="C18:C42" si="2">$C$9*SIN($B18*$C$10*2*PI())</f>
        <v>0.84432792550201508</v>
      </c>
      <c r="D18" s="2">
        <f t="shared" ref="D18:D42" si="3">C18*(1/(SQRT(1+($C$10/$C$12)^2)))</f>
        <v>8.4013768660735413E-2</v>
      </c>
      <c r="E18" s="2">
        <f t="shared" si="0"/>
        <v>8.4013768660735413E-2</v>
      </c>
      <c r="F18" s="28">
        <f t="shared" si="1"/>
        <v>8.40137686607354E-2</v>
      </c>
    </row>
    <row r="19" spans="2:18">
      <c r="B19" s="2">
        <f t="shared" ref="B19:B42" si="4">B18+$C$14</f>
        <v>2.0106192982974673E-5</v>
      </c>
      <c r="C19" s="2">
        <f t="shared" si="2"/>
        <v>0.90482705246601947</v>
      </c>
      <c r="D19" s="2">
        <f t="shared" si="3"/>
        <v>9.0033656791177447E-2</v>
      </c>
      <c r="E19" s="2">
        <f t="shared" si="0"/>
        <v>9.0033656791177447E-2</v>
      </c>
      <c r="F19" s="28">
        <f t="shared" si="1"/>
        <v>9.0033656791177433E-2</v>
      </c>
    </row>
    <row r="20" spans="2:18">
      <c r="B20" s="2">
        <f t="shared" si="4"/>
        <v>3.015928947446201E-5</v>
      </c>
      <c r="C20" s="2">
        <f t="shared" si="2"/>
        <v>0.12533323356430454</v>
      </c>
      <c r="D20" s="2">
        <f t="shared" si="3"/>
        <v>1.2471122856575789E-2</v>
      </c>
      <c r="E20" s="2">
        <f t="shared" si="0"/>
        <v>1.2471122856575789E-2</v>
      </c>
      <c r="F20" s="28">
        <f t="shared" si="1"/>
        <v>1.2471122856575787E-2</v>
      </c>
    </row>
    <row r="21" spans="2:18">
      <c r="B21" s="2">
        <f t="shared" si="4"/>
        <v>4.0212385965949346E-5</v>
      </c>
      <c r="C21" s="2">
        <f t="shared" si="2"/>
        <v>-0.77051324277578936</v>
      </c>
      <c r="D21" s="2">
        <f t="shared" si="3"/>
        <v>-7.6668933211120865E-2</v>
      </c>
      <c r="E21" s="2">
        <f t="shared" si="0"/>
        <v>-7.6668933211120865E-2</v>
      </c>
      <c r="F21" s="28">
        <f t="shared" si="1"/>
        <v>-7.6668933211120865E-2</v>
      </c>
    </row>
    <row r="22" spans="2:18" ht="15.75">
      <c r="B22" s="2">
        <f t="shared" si="4"/>
        <v>5.026548245743668E-5</v>
      </c>
      <c r="C22" s="2">
        <f t="shared" si="2"/>
        <v>-0.95105651629515364</v>
      </c>
      <c r="D22" s="2">
        <f t="shared" si="3"/>
        <v>-9.4633660370523051E-2</v>
      </c>
      <c r="E22" s="2">
        <f t="shared" si="0"/>
        <v>-9.4633660370523051E-2</v>
      </c>
      <c r="F22" s="28">
        <f t="shared" si="1"/>
        <v>-9.4633660370523037E-2</v>
      </c>
      <c r="Q22" s="26"/>
      <c r="R22" s="26"/>
    </row>
    <row r="23" spans="2:18" ht="15.75">
      <c r="B23" s="2">
        <f t="shared" si="4"/>
        <v>6.0318578948924013E-5</v>
      </c>
      <c r="C23" s="2">
        <f t="shared" si="2"/>
        <v>-0.24868988716485621</v>
      </c>
      <c r="D23" s="2">
        <f t="shared" si="3"/>
        <v>-2.4745568655815776E-2</v>
      </c>
      <c r="E23" s="2">
        <f t="shared" si="0"/>
        <v>-2.4745568655815776E-2</v>
      </c>
      <c r="F23" s="28">
        <f t="shared" si="1"/>
        <v>-2.4745568655815772E-2</v>
      </c>
      <c r="Q23" s="26"/>
      <c r="R23" s="26"/>
    </row>
    <row r="24" spans="2:18">
      <c r="B24" s="2">
        <f t="shared" si="4"/>
        <v>7.0371675440411346E-5</v>
      </c>
      <c r="C24" s="2">
        <f t="shared" si="2"/>
        <v>0.68454710592868795</v>
      </c>
      <c r="D24" s="2">
        <f t="shared" si="3"/>
        <v>6.8114982884966147E-2</v>
      </c>
      <c r="E24" s="2">
        <f t="shared" si="0"/>
        <v>6.8114982884966147E-2</v>
      </c>
      <c r="F24" s="28">
        <f t="shared" si="1"/>
        <v>6.8114982884966133E-2</v>
      </c>
    </row>
    <row r="25" spans="2:18">
      <c r="B25" s="2">
        <f t="shared" si="4"/>
        <v>8.0424771931898679E-5</v>
      </c>
      <c r="C25" s="2">
        <f t="shared" si="2"/>
        <v>0.98228725072868894</v>
      </c>
      <c r="D25" s="2">
        <f t="shared" si="3"/>
        <v>9.774123459441697E-2</v>
      </c>
      <c r="E25" s="2">
        <f t="shared" si="0"/>
        <v>9.774123459441697E-2</v>
      </c>
      <c r="F25" s="28">
        <f t="shared" si="1"/>
        <v>9.774123459441697E-2</v>
      </c>
    </row>
    <row r="26" spans="2:18">
      <c r="B26" s="2">
        <f t="shared" si="4"/>
        <v>9.0477868423386013E-5</v>
      </c>
      <c r="C26" s="2">
        <f t="shared" si="2"/>
        <v>0.36812455268467958</v>
      </c>
      <c r="D26" s="2">
        <f t="shared" si="3"/>
        <v>3.6629762055067266E-2</v>
      </c>
      <c r="E26" s="2">
        <f t="shared" si="0"/>
        <v>3.6629762055067266E-2</v>
      </c>
      <c r="F26" s="28">
        <f t="shared" si="1"/>
        <v>3.662976205506726E-2</v>
      </c>
    </row>
    <row r="27" spans="2:18">
      <c r="B27" s="2">
        <f t="shared" si="4"/>
        <v>1.0053096491487335E-4</v>
      </c>
      <c r="C27" s="2">
        <f t="shared" si="2"/>
        <v>-0.58778525229247136</v>
      </c>
      <c r="D27" s="2">
        <f t="shared" si="3"/>
        <v>-5.8486818588797028E-2</v>
      </c>
      <c r="E27" s="2">
        <f t="shared" si="0"/>
        <v>-5.8486818588797028E-2</v>
      </c>
      <c r="F27" s="28">
        <f t="shared" si="1"/>
        <v>-5.8486818588797021E-2</v>
      </c>
    </row>
    <row r="28" spans="2:18">
      <c r="B28" s="2">
        <f t="shared" si="4"/>
        <v>1.1058406140636068E-4</v>
      </c>
      <c r="C28" s="2">
        <f t="shared" si="2"/>
        <v>-0.99802672842827167</v>
      </c>
      <c r="D28" s="2">
        <f t="shared" si="3"/>
        <v>-9.9307371160973532E-2</v>
      </c>
      <c r="E28" s="2">
        <f t="shared" si="0"/>
        <v>-9.9307371160973532E-2</v>
      </c>
      <c r="F28" s="28">
        <f t="shared" si="1"/>
        <v>-9.9307371160973518E-2</v>
      </c>
    </row>
    <row r="29" spans="2:18">
      <c r="B29" s="2">
        <f t="shared" si="4"/>
        <v>1.2063715789784801E-4</v>
      </c>
      <c r="C29" s="2">
        <f t="shared" si="2"/>
        <v>-0.48175367410171788</v>
      </c>
      <c r="D29" s="2">
        <f t="shared" si="3"/>
        <v>-4.7936282225151221E-2</v>
      </c>
      <c r="E29" s="2">
        <f t="shared" si="0"/>
        <v>-4.7936282225151221E-2</v>
      </c>
      <c r="F29" s="28">
        <f t="shared" si="1"/>
        <v>-4.7936282225151214E-2</v>
      </c>
    </row>
    <row r="30" spans="2:18">
      <c r="B30" s="2">
        <f t="shared" si="4"/>
        <v>1.3069025438933535E-4</v>
      </c>
      <c r="C30" s="2">
        <f t="shared" si="2"/>
        <v>0.48175367410171233</v>
      </c>
      <c r="D30" s="2">
        <f t="shared" si="3"/>
        <v>4.7936282225150666E-2</v>
      </c>
      <c r="E30" s="2">
        <f t="shared" si="0"/>
        <v>4.7936282225150666E-2</v>
      </c>
      <c r="F30" s="28">
        <f t="shared" si="1"/>
        <v>4.7936282225150659E-2</v>
      </c>
    </row>
    <row r="31" spans="2:18">
      <c r="B31" s="2">
        <f t="shared" si="4"/>
        <v>1.4074335088082269E-4</v>
      </c>
      <c r="C31" s="2">
        <f t="shared" si="2"/>
        <v>0.99802672842827145</v>
      </c>
      <c r="D31" s="2">
        <f t="shared" si="3"/>
        <v>9.9307371160973518E-2</v>
      </c>
      <c r="E31" s="2">
        <f t="shared" si="0"/>
        <v>9.9307371160973518E-2</v>
      </c>
      <c r="F31" s="28">
        <f t="shared" si="1"/>
        <v>9.9307371160973504E-2</v>
      </c>
    </row>
    <row r="32" spans="2:18">
      <c r="B32" s="2">
        <f t="shared" si="4"/>
        <v>1.5079644737231004E-4</v>
      </c>
      <c r="C32" s="2">
        <f t="shared" si="2"/>
        <v>0.58778525229247358</v>
      </c>
      <c r="D32" s="2">
        <f t="shared" si="3"/>
        <v>5.848681858879725E-2</v>
      </c>
      <c r="E32" s="2">
        <f t="shared" si="0"/>
        <v>5.848681858879725E-2</v>
      </c>
      <c r="F32" s="28">
        <f t="shared" si="1"/>
        <v>5.8486818588797243E-2</v>
      </c>
    </row>
    <row r="33" spans="2:11">
      <c r="B33" s="2">
        <f t="shared" si="4"/>
        <v>1.6084954386379739E-4</v>
      </c>
      <c r="C33" s="2">
        <f t="shared" si="2"/>
        <v>-0.3681245526846787</v>
      </c>
      <c r="D33" s="2">
        <f t="shared" si="3"/>
        <v>-3.6629762055067183E-2</v>
      </c>
      <c r="E33" s="2">
        <f t="shared" si="0"/>
        <v>-3.6629762055067183E-2</v>
      </c>
      <c r="F33" s="28">
        <f t="shared" si="1"/>
        <v>-3.6629762055067176E-2</v>
      </c>
    </row>
    <row r="34" spans="2:11">
      <c r="B34" s="2">
        <f t="shared" si="4"/>
        <v>1.7090264035528473E-4</v>
      </c>
      <c r="C34" s="2">
        <f t="shared" si="2"/>
        <v>-0.98228725072868905</v>
      </c>
      <c r="D34" s="2">
        <f t="shared" si="3"/>
        <v>-9.7741234594416984E-2</v>
      </c>
      <c r="E34" s="2">
        <f t="shared" si="0"/>
        <v>-9.7741234594416984E-2</v>
      </c>
      <c r="F34" s="28">
        <f t="shared" si="1"/>
        <v>-9.7741234594416984E-2</v>
      </c>
    </row>
    <row r="35" spans="2:11">
      <c r="B35" s="2">
        <f t="shared" si="4"/>
        <v>1.8095573684677208E-4</v>
      </c>
      <c r="C35" s="2">
        <f t="shared" si="2"/>
        <v>-0.68454710592868862</v>
      </c>
      <c r="D35" s="2">
        <f t="shared" si="3"/>
        <v>-6.8114982884966216E-2</v>
      </c>
      <c r="E35" s="2">
        <f t="shared" si="0"/>
        <v>-6.8114982884966216E-2</v>
      </c>
      <c r="F35" s="28">
        <f t="shared" si="1"/>
        <v>-6.8114982884966202E-2</v>
      </c>
    </row>
    <row r="36" spans="2:11">
      <c r="B36" s="2">
        <f t="shared" si="4"/>
        <v>1.9100883333825943E-4</v>
      </c>
      <c r="C36" s="2">
        <f t="shared" si="2"/>
        <v>0.24868988716485613</v>
      </c>
      <c r="D36" s="2">
        <f t="shared" si="3"/>
        <v>2.4745568655815769E-2</v>
      </c>
      <c r="E36" s="2">
        <f t="shared" si="0"/>
        <v>2.4745568655815769E-2</v>
      </c>
      <c r="F36" s="28">
        <f t="shared" si="1"/>
        <v>2.4745568655815765E-2</v>
      </c>
      <c r="H36" s="6" t="s">
        <v>65</v>
      </c>
    </row>
    <row r="37" spans="2:11">
      <c r="B37" s="2">
        <f t="shared" si="4"/>
        <v>2.0106192982974677E-4</v>
      </c>
      <c r="C37" s="2">
        <f t="shared" si="2"/>
        <v>0.95105651629515442</v>
      </c>
      <c r="D37" s="2">
        <f t="shared" si="3"/>
        <v>9.4633660370523121E-2</v>
      </c>
      <c r="E37" s="2">
        <f t="shared" si="0"/>
        <v>9.4633660370523121E-2</v>
      </c>
      <c r="F37" s="28">
        <f t="shared" si="1"/>
        <v>9.4633660370523121E-2</v>
      </c>
      <c r="H37" s="12" t="s">
        <v>64</v>
      </c>
      <c r="I37" s="12">
        <f>I3</f>
        <v>5</v>
      </c>
      <c r="J37" s="12" t="s">
        <v>17</v>
      </c>
      <c r="K37" s="13" t="str">
        <f>TRIM(H37)&amp;"   "&amp;IF(I37&gt;0,"+","")&amp;TRIM(I37)&amp;" "&amp;TRIM(J37)</f>
        <v>V+:   +5 V</v>
      </c>
    </row>
    <row r="38" spans="2:11">
      <c r="B38" s="2">
        <f t="shared" si="4"/>
        <v>2.1111502632123412E-4</v>
      </c>
      <c r="C38" s="2">
        <f t="shared" si="2"/>
        <v>0.77051324277578659</v>
      </c>
      <c r="D38" s="2">
        <f t="shared" si="3"/>
        <v>7.6668933211120588E-2</v>
      </c>
      <c r="E38" s="2">
        <f t="shared" si="0"/>
        <v>7.6668933211120588E-2</v>
      </c>
      <c r="F38" s="28">
        <f t="shared" si="1"/>
        <v>7.6668933211120574E-2</v>
      </c>
      <c r="H38" s="12" t="s">
        <v>66</v>
      </c>
      <c r="I38" s="12">
        <f>I4</f>
        <v>-5</v>
      </c>
      <c r="J38" s="12" t="s">
        <v>17</v>
      </c>
      <c r="K38" s="13" t="str">
        <f t="shared" ref="K38:K39" si="5">TRIM(H38)&amp;"   "&amp;IF(I38&gt;0,"+","")&amp;TRIM(I38)&amp;" "&amp;TRIM(J38)</f>
        <v>V-:   -5 V</v>
      </c>
    </row>
    <row r="39" spans="2:11">
      <c r="B39" s="2">
        <f t="shared" si="4"/>
        <v>2.2116812281272147E-4</v>
      </c>
      <c r="C39" s="2">
        <f t="shared" si="2"/>
        <v>-0.12533323356430973</v>
      </c>
      <c r="D39" s="2">
        <f t="shared" si="3"/>
        <v>-1.2471122856576306E-2</v>
      </c>
      <c r="E39" s="2">
        <f t="shared" si="0"/>
        <v>-1.2471122856576306E-2</v>
      </c>
      <c r="F39" s="28">
        <f t="shared" si="1"/>
        <v>-1.2471122856576304E-2</v>
      </c>
      <c r="H39" s="12" t="s">
        <v>29</v>
      </c>
      <c r="I39" s="12">
        <f>I8</f>
        <v>1</v>
      </c>
      <c r="J39" s="12" t="s">
        <v>17</v>
      </c>
      <c r="K39" s="13" t="str">
        <f t="shared" si="5"/>
        <v>Vin:   +1 V</v>
      </c>
    </row>
    <row r="40" spans="2:11">
      <c r="B40" s="2">
        <f t="shared" si="4"/>
        <v>2.3122121930420881E-4</v>
      </c>
      <c r="C40" s="2">
        <f t="shared" si="2"/>
        <v>-0.90482705246602246</v>
      </c>
      <c r="D40" s="2">
        <f t="shared" si="3"/>
        <v>-9.0033656791177738E-2</v>
      </c>
      <c r="E40" s="2">
        <f t="shared" si="0"/>
        <v>-9.0033656791177738E-2</v>
      </c>
      <c r="F40" s="28">
        <f t="shared" si="1"/>
        <v>-9.0033656791177738E-2</v>
      </c>
      <c r="H40" s="12" t="s">
        <v>67</v>
      </c>
      <c r="I40" s="12">
        <f>C3</f>
        <v>1</v>
      </c>
      <c r="J40" s="12" t="s">
        <v>16</v>
      </c>
      <c r="K40" s="13" t="str">
        <f>TRIM(H40)&amp;"   "&amp;TRIM(I40)&amp;" "&amp;TRIM(J40)</f>
        <v>R1:   1 K</v>
      </c>
    </row>
    <row r="41" spans="2:11">
      <c r="B41" s="2">
        <f t="shared" si="4"/>
        <v>2.4127431579569616E-4</v>
      </c>
      <c r="C41" s="2">
        <f t="shared" si="2"/>
        <v>-0.84432792550201063</v>
      </c>
      <c r="D41" s="2">
        <f t="shared" si="3"/>
        <v>-8.4013768660734969E-2</v>
      </c>
      <c r="E41" s="2">
        <f t="shared" si="0"/>
        <v>-8.4013768660734969E-2</v>
      </c>
      <c r="F41" s="28">
        <f t="shared" si="1"/>
        <v>-8.4013768660734969E-2</v>
      </c>
      <c r="H41" s="12" t="s">
        <v>100</v>
      </c>
      <c r="I41" s="12">
        <f>C4</f>
        <v>0.1</v>
      </c>
      <c r="J41" s="12" t="s">
        <v>83</v>
      </c>
      <c r="K41" s="13" t="str">
        <f>TRIM(H41)&amp;"   "&amp;TRIM(I41)&amp;" "&amp;TRIM(J41)</f>
        <v>C1:   0.1 uF</v>
      </c>
    </row>
    <row r="42" spans="2:11">
      <c r="B42" s="2">
        <f t="shared" si="4"/>
        <v>2.5132741228718348E-4</v>
      </c>
      <c r="C42" s="2">
        <f t="shared" si="2"/>
        <v>6.1253085936741059E-15</v>
      </c>
      <c r="D42" s="2">
        <f t="shared" si="3"/>
        <v>6.0949098522185824E-16</v>
      </c>
      <c r="E42" s="2">
        <f t="shared" si="0"/>
        <v>6.0949098522185824E-16</v>
      </c>
      <c r="F42" s="28">
        <f t="shared" si="1"/>
        <v>6.0949098522185815E-16</v>
      </c>
      <c r="H42" s="12" t="s">
        <v>101</v>
      </c>
      <c r="I42" s="12">
        <f>ROUND(C10,0)</f>
        <v>15915</v>
      </c>
      <c r="J42" s="12" t="s">
        <v>80</v>
      </c>
      <c r="K42" s="13" t="str">
        <f>TRIM(H42)&amp;"   "&amp;TRIM(I42)&amp;" "&amp;TRIM(J42)</f>
        <v>f,signal:   15915 Hz</v>
      </c>
    </row>
    <row r="44" spans="2:11">
      <c r="B44" s="6" t="s">
        <v>92</v>
      </c>
    </row>
    <row r="45" spans="2:11" ht="15.75">
      <c r="B45" s="14"/>
      <c r="C45" s="2" t="s">
        <v>95</v>
      </c>
    </row>
    <row r="46" spans="2:11">
      <c r="B46" s="7" t="s">
        <v>93</v>
      </c>
      <c r="C46" s="7" t="s">
        <v>97</v>
      </c>
      <c r="D46" s="7" t="s">
        <v>94</v>
      </c>
      <c r="E46" s="7" t="s">
        <v>218</v>
      </c>
    </row>
    <row r="47" spans="2:11">
      <c r="B47" s="2">
        <v>1</v>
      </c>
      <c r="C47" s="2">
        <f>1/(2*PI()*B47*$C$4*0.000001)</f>
        <v>1591549.4309189534</v>
      </c>
      <c r="D47" s="2">
        <f>20*LOG(1/SQRT(1+(B47/$C$12)^2))</f>
        <v>-1.7145255528834613E-6</v>
      </c>
      <c r="E47" s="2">
        <f t="shared" ref="E47:E78" si="6">20*LOG(C47/SQRT((C47^2+($C$3*1000)^2)))</f>
        <v>-1.7145255528834613E-6</v>
      </c>
    </row>
    <row r="48" spans="2:11">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229</v>
      </c>
      <c r="H2" s="6" t="s">
        <v>36</v>
      </c>
      <c r="AB2"/>
    </row>
    <row r="3" spans="2:28" ht="15.75" thickBot="1">
      <c r="B3" s="2" t="s">
        <v>12</v>
      </c>
      <c r="C3" s="4">
        <v>1</v>
      </c>
      <c r="D3" s="2" t="s">
        <v>16</v>
      </c>
      <c r="H3" s="2" t="s">
        <v>9</v>
      </c>
      <c r="I3" s="4">
        <v>5</v>
      </c>
      <c r="J3" s="2" t="s">
        <v>18</v>
      </c>
    </row>
    <row r="4" spans="2:28" ht="15.75" thickBot="1">
      <c r="B4" s="2" t="s">
        <v>82</v>
      </c>
      <c r="C4" s="4">
        <v>0.1</v>
      </c>
      <c r="D4" s="2" t="s">
        <v>83</v>
      </c>
      <c r="H4" s="2" t="s">
        <v>10</v>
      </c>
      <c r="I4" s="5">
        <v>-5</v>
      </c>
      <c r="J4" s="2" t="s">
        <v>19</v>
      </c>
    </row>
    <row r="5" spans="2:28" ht="15.75" thickBot="1">
      <c r="B5" s="2" t="s">
        <v>97</v>
      </c>
      <c r="C5" s="3">
        <f>1/(2*PI()*C9*C4*0.000001)</f>
        <v>1000.0002707544371</v>
      </c>
      <c r="D5" s="2" t="s">
        <v>214</v>
      </c>
      <c r="H5" s="2" t="s">
        <v>31</v>
      </c>
      <c r="I5" s="4">
        <v>1.2</v>
      </c>
      <c r="J5" s="2" t="s">
        <v>32</v>
      </c>
    </row>
    <row r="6" spans="2:28">
      <c r="B6" s="2" t="s">
        <v>0</v>
      </c>
      <c r="C6" s="3">
        <v>0</v>
      </c>
      <c r="D6" s="2" t="s">
        <v>17</v>
      </c>
    </row>
    <row r="7" spans="2:28" ht="15" customHeight="1" thickBot="1">
      <c r="B7" s="2" t="s">
        <v>1</v>
      </c>
      <c r="C7" s="3">
        <f>1</f>
        <v>1</v>
      </c>
      <c r="D7" s="2" t="s">
        <v>39</v>
      </c>
      <c r="H7" s="6" t="s">
        <v>33</v>
      </c>
      <c r="M7" s="25"/>
      <c r="R7" s="26"/>
    </row>
    <row r="8" spans="2:28" ht="15" customHeight="1" thickBot="1">
      <c r="B8" s="2" t="s">
        <v>25</v>
      </c>
      <c r="C8" s="4">
        <v>1</v>
      </c>
      <c r="D8" s="2" t="s">
        <v>38</v>
      </c>
      <c r="H8" s="6" t="s">
        <v>29</v>
      </c>
      <c r="I8" s="4">
        <v>1</v>
      </c>
      <c r="J8" s="2" t="s">
        <v>17</v>
      </c>
      <c r="R8" s="26"/>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216</v>
      </c>
      <c r="G15" s="28"/>
    </row>
    <row r="16" spans="2:28">
      <c r="B16" s="2">
        <v>0</v>
      </c>
      <c r="C16" s="2">
        <f>$C$8*SIN($B16*$C$9*2*PI())</f>
        <v>0</v>
      </c>
      <c r="D16" s="2">
        <f>C16*($C$9/$C$11)/SQRT(1+($C$9/$C$11)^2)</f>
        <v>0</v>
      </c>
      <c r="E16" s="2">
        <f t="shared" ref="E16:E41" si="0">IF(D16&gt;($I$3-$I$5),($I$3-$I$5),IF(D16&lt;($I$4+$I$5),($I$4+$I$5),D16))</f>
        <v>0</v>
      </c>
      <c r="F16" s="28">
        <f>C16*$C$3*1000/SQRT(($C$3*1000)^2+$C$5^2)</f>
        <v>0</v>
      </c>
      <c r="G16" s="28"/>
    </row>
    <row r="17" spans="2:7">
      <c r="B17" s="2">
        <f>B16+$C$13</f>
        <v>1.0053099213407818E-4</v>
      </c>
      <c r="C17" s="2">
        <f t="shared" ref="C17:C41" si="1">$C$8*SIN($B17*$C$9*2*PI())</f>
        <v>0.84432792550201508</v>
      </c>
      <c r="D17" s="2">
        <f t="shared" ref="D17:D41" si="2">C17*($C$9/$C$11)/SQRT(1+($C$9/$C$11)^2)</f>
        <v>0.59702992084338946</v>
      </c>
      <c r="E17" s="2">
        <f t="shared" si="0"/>
        <v>0.59702992084338946</v>
      </c>
      <c r="F17" s="28">
        <f t="shared" ref="F17:F41" si="3">C17*$C$3*1000/SQRT(($C$3*1000)^2+$C$5^2)</f>
        <v>0.59702992084338946</v>
      </c>
      <c r="G17" s="28"/>
    </row>
    <row r="18" spans="2:7">
      <c r="B18" s="2">
        <f t="shared" ref="B18:B41" si="4">B17+$C$13</f>
        <v>2.0106198426815636E-4</v>
      </c>
      <c r="C18" s="2">
        <f t="shared" si="1"/>
        <v>0.90482705246601947</v>
      </c>
      <c r="D18" s="2">
        <f t="shared" si="2"/>
        <v>0.63980925798415478</v>
      </c>
      <c r="E18" s="2">
        <f t="shared" si="0"/>
        <v>0.63980925798415478</v>
      </c>
      <c r="F18" s="28">
        <f t="shared" si="3"/>
        <v>0.63980925798415478</v>
      </c>
      <c r="G18" s="28"/>
    </row>
    <row r="19" spans="2:7">
      <c r="B19" s="2">
        <f t="shared" si="4"/>
        <v>3.0159297640223456E-4</v>
      </c>
      <c r="C19" s="2">
        <f t="shared" si="1"/>
        <v>0.12533323356430454</v>
      </c>
      <c r="D19" s="2">
        <f t="shared" si="2"/>
        <v>8.8623967363690132E-2</v>
      </c>
      <c r="E19" s="2">
        <f t="shared" si="0"/>
        <v>8.8623967363690132E-2</v>
      </c>
      <c r="F19" s="28">
        <f t="shared" si="3"/>
        <v>8.8623967363690132E-2</v>
      </c>
      <c r="G19" s="28"/>
    </row>
    <row r="20" spans="2:7">
      <c r="B20" s="2">
        <f t="shared" si="4"/>
        <v>4.0212396853631273E-4</v>
      </c>
      <c r="C20" s="2">
        <f t="shared" si="1"/>
        <v>-0.77051324277578936</v>
      </c>
      <c r="D20" s="2">
        <f t="shared" si="2"/>
        <v>-0.54483506520253655</v>
      </c>
      <c r="E20" s="2">
        <f t="shared" si="0"/>
        <v>-0.54483506520253655</v>
      </c>
      <c r="F20" s="28">
        <f t="shared" si="3"/>
        <v>-0.54483506520253655</v>
      </c>
      <c r="G20" s="28"/>
    </row>
    <row r="21" spans="2:7">
      <c r="B21" s="2">
        <f t="shared" si="4"/>
        <v>5.0265496067039095E-4</v>
      </c>
      <c r="C21" s="2">
        <f t="shared" si="1"/>
        <v>-0.95105651629515364</v>
      </c>
      <c r="D21" s="2">
        <f t="shared" si="2"/>
        <v>-0.67249842092298551</v>
      </c>
      <c r="E21" s="2">
        <f t="shared" si="0"/>
        <v>-0.67249842092298551</v>
      </c>
      <c r="F21" s="28">
        <f t="shared" si="3"/>
        <v>-0.67249842092298551</v>
      </c>
      <c r="G21" s="28"/>
    </row>
    <row r="22" spans="2:7">
      <c r="B22" s="2">
        <f t="shared" si="4"/>
        <v>6.0318595280446912E-4</v>
      </c>
      <c r="C22" s="2">
        <f t="shared" si="1"/>
        <v>-0.24868988716485535</v>
      </c>
      <c r="D22" s="2">
        <f t="shared" si="2"/>
        <v>-0.17585028182066292</v>
      </c>
      <c r="E22" s="2">
        <f t="shared" si="0"/>
        <v>-0.17585028182066292</v>
      </c>
      <c r="F22" s="28">
        <f t="shared" si="3"/>
        <v>-0.17585028182066292</v>
      </c>
      <c r="G22" s="28"/>
    </row>
    <row r="23" spans="2:7">
      <c r="B23" s="2">
        <f t="shared" si="4"/>
        <v>7.0371694493854729E-4</v>
      </c>
      <c r="C23" s="2">
        <f t="shared" si="1"/>
        <v>0.68454710592868795</v>
      </c>
      <c r="D23" s="2">
        <f t="shared" si="2"/>
        <v>0.48404783511474714</v>
      </c>
      <c r="E23" s="2">
        <f t="shared" si="0"/>
        <v>0.48404783511474714</v>
      </c>
      <c r="F23" s="28">
        <f t="shared" si="3"/>
        <v>0.48404783511474719</v>
      </c>
      <c r="G23" s="28"/>
    </row>
    <row r="24" spans="2:7">
      <c r="B24" s="2">
        <f t="shared" si="4"/>
        <v>8.0424793707262545E-4</v>
      </c>
      <c r="C24" s="2">
        <f t="shared" si="1"/>
        <v>0.98228725072868861</v>
      </c>
      <c r="D24" s="2">
        <f t="shared" si="2"/>
        <v>0.6945818820327766</v>
      </c>
      <c r="E24" s="2">
        <f t="shared" si="0"/>
        <v>0.6945818820327766</v>
      </c>
      <c r="F24" s="28">
        <f t="shared" si="3"/>
        <v>0.6945818820327766</v>
      </c>
      <c r="G24" s="28"/>
    </row>
    <row r="25" spans="2:7">
      <c r="B25" s="2">
        <f t="shared" si="4"/>
        <v>9.0477892920670362E-4</v>
      </c>
      <c r="C25" s="2">
        <f t="shared" si="1"/>
        <v>0.36812455268467797</v>
      </c>
      <c r="D25" s="2">
        <f t="shared" si="2"/>
        <v>0.26030333228545677</v>
      </c>
      <c r="E25" s="2">
        <f t="shared" si="0"/>
        <v>0.26030333228545677</v>
      </c>
      <c r="F25" s="28">
        <f t="shared" si="3"/>
        <v>0.26030333228545677</v>
      </c>
      <c r="G25" s="28"/>
    </row>
    <row r="26" spans="2:7">
      <c r="B26" s="2">
        <f t="shared" si="4"/>
        <v>1.0053099213407819E-3</v>
      </c>
      <c r="C26" s="2">
        <f t="shared" si="1"/>
        <v>-0.5877852522924728</v>
      </c>
      <c r="D26" s="2">
        <f t="shared" si="2"/>
        <v>-0.41562688151103822</v>
      </c>
      <c r="E26" s="2">
        <f t="shared" si="0"/>
        <v>-0.41562688151103822</v>
      </c>
      <c r="F26" s="28">
        <f t="shared" si="3"/>
        <v>-0.41562688151103827</v>
      </c>
      <c r="G26" s="28"/>
    </row>
    <row r="27" spans="2:7">
      <c r="B27" s="2">
        <f t="shared" si="4"/>
        <v>1.1058409134748601E-3</v>
      </c>
      <c r="C27" s="2">
        <f t="shared" si="1"/>
        <v>-0.99802672842827156</v>
      </c>
      <c r="D27" s="2">
        <f t="shared" si="2"/>
        <v>-0.7057113719398066</v>
      </c>
      <c r="E27" s="2">
        <f t="shared" si="0"/>
        <v>-0.7057113719398066</v>
      </c>
      <c r="F27" s="28">
        <f t="shared" si="3"/>
        <v>-0.7057113719398066</v>
      </c>
      <c r="G27" s="28"/>
    </row>
    <row r="28" spans="2:7">
      <c r="B28" s="2">
        <f t="shared" si="4"/>
        <v>1.2063719056089382E-3</v>
      </c>
      <c r="C28" s="2">
        <f t="shared" si="1"/>
        <v>-0.48175367410171632</v>
      </c>
      <c r="D28" s="2">
        <f t="shared" si="2"/>
        <v>-0.34065124370243666</v>
      </c>
      <c r="E28" s="2">
        <f t="shared" si="0"/>
        <v>-0.34065124370243666</v>
      </c>
      <c r="F28" s="28">
        <f t="shared" si="3"/>
        <v>-0.34065124370243671</v>
      </c>
      <c r="G28" s="28"/>
    </row>
    <row r="29" spans="2:7">
      <c r="B29" s="2">
        <f t="shared" si="4"/>
        <v>1.3069028977430164E-3</v>
      </c>
      <c r="C29" s="2">
        <f t="shared" si="1"/>
        <v>0.48175367410171543</v>
      </c>
      <c r="D29" s="2">
        <f t="shared" si="2"/>
        <v>0.34065124370243605</v>
      </c>
      <c r="E29" s="2">
        <f t="shared" si="0"/>
        <v>0.34065124370243605</v>
      </c>
      <c r="F29" s="28">
        <f t="shared" si="3"/>
        <v>0.34065124370243605</v>
      </c>
      <c r="G29" s="28"/>
    </row>
    <row r="30" spans="2:7">
      <c r="B30" s="2">
        <f t="shared" si="4"/>
        <v>1.4074338898770946E-3</v>
      </c>
      <c r="C30" s="2">
        <f t="shared" si="1"/>
        <v>0.99802672842827145</v>
      </c>
      <c r="D30" s="2">
        <f t="shared" si="2"/>
        <v>0.70571137193980649</v>
      </c>
      <c r="E30" s="2">
        <f t="shared" si="0"/>
        <v>0.70571137193980649</v>
      </c>
      <c r="F30" s="28">
        <f t="shared" si="3"/>
        <v>0.7057113719398066</v>
      </c>
      <c r="G30" s="28"/>
    </row>
    <row r="31" spans="2:7">
      <c r="B31" s="2">
        <f t="shared" si="4"/>
        <v>1.5079648820111727E-3</v>
      </c>
      <c r="C31" s="2">
        <f t="shared" si="1"/>
        <v>0.58778525229247358</v>
      </c>
      <c r="D31" s="2">
        <f t="shared" si="2"/>
        <v>0.41562688151103877</v>
      </c>
      <c r="E31" s="2">
        <f t="shared" si="0"/>
        <v>0.41562688151103877</v>
      </c>
      <c r="F31" s="28">
        <f t="shared" si="3"/>
        <v>0.41562688151103883</v>
      </c>
      <c r="G31" s="28"/>
    </row>
    <row r="32" spans="2:7">
      <c r="B32" s="2">
        <f t="shared" si="4"/>
        <v>1.6084958741452509E-3</v>
      </c>
      <c r="C32" s="2">
        <f t="shared" si="1"/>
        <v>-0.3681245526846787</v>
      </c>
      <c r="D32" s="2">
        <f t="shared" si="2"/>
        <v>-0.26030333228545727</v>
      </c>
      <c r="E32" s="2">
        <f t="shared" si="0"/>
        <v>-0.26030333228545727</v>
      </c>
      <c r="F32" s="28">
        <f t="shared" si="3"/>
        <v>-0.26030333228545732</v>
      </c>
      <c r="G32" s="28"/>
    </row>
    <row r="33" spans="2:11">
      <c r="B33" s="2">
        <f t="shared" si="4"/>
        <v>1.7090268662793291E-3</v>
      </c>
      <c r="C33" s="2">
        <f t="shared" si="1"/>
        <v>-0.98228725072868839</v>
      </c>
      <c r="D33" s="2">
        <f t="shared" si="2"/>
        <v>-0.69458188203277638</v>
      </c>
      <c r="E33" s="2">
        <f t="shared" si="0"/>
        <v>-0.69458188203277638</v>
      </c>
      <c r="F33" s="28">
        <f t="shared" si="3"/>
        <v>-0.69458188203277638</v>
      </c>
      <c r="G33" s="28"/>
    </row>
    <row r="34" spans="2:11">
      <c r="B34" s="2">
        <f t="shared" si="4"/>
        <v>1.8095578584134072E-3</v>
      </c>
      <c r="C34" s="2">
        <f t="shared" si="1"/>
        <v>-0.68454710592868862</v>
      </c>
      <c r="D34" s="2">
        <f t="shared" si="2"/>
        <v>-0.48404783511474758</v>
      </c>
      <c r="E34" s="2">
        <f t="shared" si="0"/>
        <v>-0.48404783511474758</v>
      </c>
      <c r="F34" s="28">
        <f t="shared" si="3"/>
        <v>-0.48404783511474764</v>
      </c>
      <c r="G34" s="28"/>
    </row>
    <row r="35" spans="2:11">
      <c r="B35" s="2">
        <f t="shared" si="4"/>
        <v>1.9100888505474854E-3</v>
      </c>
      <c r="C35" s="2">
        <f t="shared" si="1"/>
        <v>0.24868988716485269</v>
      </c>
      <c r="D35" s="2">
        <f t="shared" si="2"/>
        <v>0.17585028182066104</v>
      </c>
      <c r="E35" s="2">
        <f t="shared" si="0"/>
        <v>0.17585028182066104</v>
      </c>
      <c r="F35" s="28">
        <f t="shared" si="3"/>
        <v>0.17585028182066104</v>
      </c>
      <c r="G35" s="28"/>
      <c r="H35" s="6" t="s">
        <v>65</v>
      </c>
    </row>
    <row r="36" spans="2:11">
      <c r="B36" s="2">
        <f t="shared" si="4"/>
        <v>2.0106198426815638E-3</v>
      </c>
      <c r="C36" s="2">
        <f t="shared" si="1"/>
        <v>0.95105651629515331</v>
      </c>
      <c r="D36" s="2">
        <f t="shared" si="2"/>
        <v>0.67249842092298528</v>
      </c>
      <c r="E36" s="2">
        <f t="shared" si="0"/>
        <v>0.67249842092298528</v>
      </c>
      <c r="F36" s="28">
        <f t="shared" si="3"/>
        <v>0.67249842092298528</v>
      </c>
      <c r="G36" s="28"/>
      <c r="H36" s="12" t="s">
        <v>64</v>
      </c>
      <c r="I36" s="12">
        <f>I3</f>
        <v>5</v>
      </c>
      <c r="J36" s="12" t="s">
        <v>17</v>
      </c>
      <c r="K36" s="13" t="str">
        <f>TRIM(H36)&amp;"   "&amp;IF(I36&gt;0,"+","")&amp;TRIM(I36)&amp;" "&amp;TRIM(J36)</f>
        <v>V+:   +5 V</v>
      </c>
    </row>
    <row r="37" spans="2:11">
      <c r="B37" s="2">
        <f t="shared" si="4"/>
        <v>2.111150834815642E-3</v>
      </c>
      <c r="C37" s="2">
        <f t="shared" si="1"/>
        <v>0.77051324277578881</v>
      </c>
      <c r="D37" s="2">
        <f t="shared" si="2"/>
        <v>0.54483506520253622</v>
      </c>
      <c r="E37" s="2">
        <f t="shared" si="0"/>
        <v>0.54483506520253622</v>
      </c>
      <c r="F37" s="28">
        <f t="shared" si="3"/>
        <v>0.54483506520253622</v>
      </c>
      <c r="G37" s="28"/>
      <c r="H37" s="12" t="s">
        <v>66</v>
      </c>
      <c r="I37" s="12">
        <f>I4</f>
        <v>-5</v>
      </c>
      <c r="J37" s="12" t="s">
        <v>17</v>
      </c>
      <c r="K37" s="13" t="str">
        <f t="shared" ref="K37:K38" si="5">TRIM(H37)&amp;"   "&amp;IF(I37&gt;0,"+","")&amp;TRIM(I37)&amp;" "&amp;TRIM(J37)</f>
        <v>V-:   -5 V</v>
      </c>
    </row>
    <row r="38" spans="2:11">
      <c r="B38" s="2">
        <f t="shared" si="4"/>
        <v>2.2116818269497201E-3</v>
      </c>
      <c r="C38" s="2">
        <f t="shared" si="1"/>
        <v>-0.12533323356430268</v>
      </c>
      <c r="D38" s="2">
        <f t="shared" si="2"/>
        <v>-8.8623967363688813E-2</v>
      </c>
      <c r="E38" s="2">
        <f t="shared" si="0"/>
        <v>-8.8623967363688813E-2</v>
      </c>
      <c r="F38" s="28">
        <f t="shared" si="3"/>
        <v>-8.8623967363688813E-2</v>
      </c>
      <c r="G38" s="28"/>
      <c r="H38" s="12" t="s">
        <v>29</v>
      </c>
      <c r="I38" s="12">
        <f>I8</f>
        <v>1</v>
      </c>
      <c r="J38" s="12" t="s">
        <v>17</v>
      </c>
      <c r="K38" s="13" t="str">
        <f t="shared" si="5"/>
        <v>Vin:   +1 V</v>
      </c>
    </row>
    <row r="39" spans="2:11">
      <c r="B39" s="2">
        <f t="shared" si="4"/>
        <v>2.3122128190837983E-3</v>
      </c>
      <c r="C39" s="2">
        <f t="shared" si="1"/>
        <v>-0.90482705246601947</v>
      </c>
      <c r="D39" s="2">
        <f t="shared" si="2"/>
        <v>-0.63980925798415478</v>
      </c>
      <c r="E39" s="2">
        <f t="shared" si="0"/>
        <v>-0.63980925798415478</v>
      </c>
      <c r="F39" s="28">
        <f t="shared" si="3"/>
        <v>-0.63980925798415478</v>
      </c>
      <c r="G39" s="28"/>
      <c r="H39" s="12" t="s">
        <v>67</v>
      </c>
      <c r="I39" s="12">
        <f>C3</f>
        <v>1</v>
      </c>
      <c r="J39" s="12" t="s">
        <v>16</v>
      </c>
      <c r="K39" s="13" t="str">
        <f>TRIM(H39)&amp;"   "&amp;TRIM(I39)&amp;" "&amp;TRIM(J39)</f>
        <v>R1:   1 K</v>
      </c>
    </row>
    <row r="40" spans="2:11">
      <c r="B40" s="2">
        <f t="shared" si="4"/>
        <v>2.4127438112178765E-3</v>
      </c>
      <c r="C40" s="2">
        <f t="shared" si="1"/>
        <v>-0.8443279255020163</v>
      </c>
      <c r="D40" s="2">
        <f t="shared" si="2"/>
        <v>-0.59702992084339024</v>
      </c>
      <c r="E40" s="2">
        <f t="shared" si="0"/>
        <v>-0.59702992084339024</v>
      </c>
      <c r="F40" s="28">
        <f t="shared" si="3"/>
        <v>-0.59702992084339035</v>
      </c>
      <c r="G40" s="28"/>
      <c r="H40" s="12" t="s">
        <v>100</v>
      </c>
      <c r="I40" s="12">
        <f>C4</f>
        <v>0.1</v>
      </c>
      <c r="J40" s="12" t="s">
        <v>83</v>
      </c>
      <c r="K40" s="13" t="str">
        <f>TRIM(H40)&amp;"   "&amp;TRIM(I40)&amp;" "&amp;TRIM(J40)</f>
        <v>C1:   0.1 uF</v>
      </c>
    </row>
    <row r="41" spans="2:11">
      <c r="B41" s="2">
        <f t="shared" si="4"/>
        <v>2.5132748033519546E-3</v>
      </c>
      <c r="C41" s="2">
        <f t="shared" si="1"/>
        <v>-9.8011876392689601E-16</v>
      </c>
      <c r="D41" s="2">
        <f t="shared" si="2"/>
        <v>-6.9304853051789641E-16</v>
      </c>
      <c r="E41" s="2">
        <f t="shared" si="0"/>
        <v>-6.9304853051789641E-16</v>
      </c>
      <c r="F41" s="28">
        <f t="shared" si="3"/>
        <v>-6.9304853051789641E-16</v>
      </c>
      <c r="G41" s="28"/>
      <c r="H41" s="12" t="s">
        <v>101</v>
      </c>
      <c r="I41" s="12">
        <f>ROUND(C9,0)</f>
        <v>1592</v>
      </c>
      <c r="J41" s="12" t="s">
        <v>80</v>
      </c>
      <c r="K41" s="13" t="str">
        <f>TRIM(H41)&amp;"   "&amp;TRIM(I41)&amp;" "&amp;TRIM(J41)</f>
        <v>f,signal:   1592 Hz</v>
      </c>
    </row>
    <row r="43" spans="2:11">
      <c r="B43" s="6" t="s">
        <v>92</v>
      </c>
    </row>
    <row r="44" spans="2:11" ht="15.75">
      <c r="B44" s="14"/>
      <c r="C44" s="2" t="s">
        <v>95</v>
      </c>
    </row>
    <row r="45" spans="2:11">
      <c r="B45" s="7" t="s">
        <v>93</v>
      </c>
      <c r="C45" s="7" t="s">
        <v>94</v>
      </c>
      <c r="D45" s="7" t="s">
        <v>97</v>
      </c>
      <c r="E45" s="7" t="s">
        <v>221</v>
      </c>
    </row>
    <row r="46" spans="2:11">
      <c r="B46" s="2">
        <v>1</v>
      </c>
      <c r="C46" s="2">
        <f>20*LOG((B46/$C$11)/SQRT(1+(B46/$C$11)^2))</f>
        <v>-64.036404347363259</v>
      </c>
      <c r="D46" s="2">
        <f t="shared" ref="D46:D77" si="6">1/(2*PI()*B46*$C$4*0.000001)</f>
        <v>1591549.4309189534</v>
      </c>
      <c r="E46" s="2">
        <f>20*LOG((B46/$C$11)/SQRT(1+(B46/$C$11)^2))</f>
        <v>-64.036404347363259</v>
      </c>
    </row>
    <row r="47" spans="2:11">
      <c r="B47" s="2">
        <v>2</v>
      </c>
      <c r="C47" s="2">
        <f t="shared" ref="C47:C100" si="7">20*LOG((B47/$C$11)/SQRT(1+(B47/$C$11)^2))</f>
        <v>-58.015809577656228</v>
      </c>
      <c r="D47" s="2">
        <f t="shared" si="6"/>
        <v>795774.71545947669</v>
      </c>
      <c r="E47" s="2">
        <f t="shared" ref="E47:E100" si="8">20*LOG((B47/$C$11)/SQRT(1+(B47/$C$11)^2))</f>
        <v>-58.015809577656228</v>
      </c>
    </row>
    <row r="48" spans="2:11">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85" zoomScaleNormal="85"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262</v>
      </c>
    </row>
    <row r="2" spans="2:26" ht="15.75" thickBot="1">
      <c r="B2" s="2" t="s">
        <v>263</v>
      </c>
      <c r="H2" s="6" t="s">
        <v>36</v>
      </c>
    </row>
    <row r="3" spans="2:26" ht="15.75" thickBot="1">
      <c r="B3" s="6" t="s">
        <v>264</v>
      </c>
      <c r="E3" s="6" t="s">
        <v>265</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266</v>
      </c>
      <c r="F5" s="4">
        <v>0.1</v>
      </c>
      <c r="G5" s="2" t="s">
        <v>83</v>
      </c>
      <c r="H5" s="2" t="s">
        <v>31</v>
      </c>
      <c r="I5" s="4">
        <v>1.2</v>
      </c>
      <c r="J5" s="2" t="s">
        <v>32</v>
      </c>
    </row>
    <row r="6" spans="2:26">
      <c r="B6" s="2" t="s">
        <v>267</v>
      </c>
      <c r="C6" s="3">
        <f>1/(2*PI()*C11*C5*0.000001)</f>
        <v>25298.221281347032</v>
      </c>
      <c r="D6" s="2" t="s">
        <v>214</v>
      </c>
      <c r="E6" s="2" t="s">
        <v>268</v>
      </c>
      <c r="F6" s="3">
        <f>1/(2*PI()*C11*F5*0.000001)</f>
        <v>2529.8221281347032</v>
      </c>
      <c r="G6" s="2" t="s">
        <v>214</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269</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270</v>
      </c>
      <c r="F10" s="3">
        <f>C7-F7</f>
        <v>1790.4931097838228</v>
      </c>
      <c r="G10" s="2" t="s">
        <v>80</v>
      </c>
    </row>
    <row r="11" spans="2:26" ht="18.75" thickBot="1">
      <c r="B11" s="2" t="s">
        <v>84</v>
      </c>
      <c r="C11" s="4">
        <f>F9</f>
        <v>629.11515130608802</v>
      </c>
      <c r="D11" s="2" t="s">
        <v>80</v>
      </c>
      <c r="E11" s="2" t="s">
        <v>271</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216</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272</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267</v>
      </c>
      <c r="D47" s="7" t="s">
        <v>268</v>
      </c>
      <c r="E47" s="7" t="s">
        <v>94</v>
      </c>
      <c r="F47" s="7" t="s">
        <v>218</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zoomScale="85" zoomScaleNormal="85"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223</v>
      </c>
      <c r="G16" s="28"/>
    </row>
    <row r="17" spans="2:20">
      <c r="B17" s="2">
        <v>0</v>
      </c>
      <c r="C17" s="2">
        <f>$C$9*SIN($B17*$C$10*2*PI())</f>
        <v>0</v>
      </c>
      <c r="D17" s="2">
        <f>C17*$C$7*(1/SQRT(1+($C$10/$C$12)^2))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C18*$C$7*(1/SQRT(1+($C$10/$C$12)^2))</f>
        <v>-1.6558652733752568</v>
      </c>
      <c r="E18" s="2">
        <f t="shared" si="0"/>
        <v>-1.6558652733752568</v>
      </c>
      <c r="F18" s="28">
        <f t="shared" ref="F18:F42" si="3">C18*(-(1/SQRT((1/$C$8)^2+(1/($C$4*1000))^2))/($C$3*1000))</f>
        <v>-1.6558652733752568</v>
      </c>
      <c r="G18" s="28"/>
    </row>
    <row r="19" spans="2:20">
      <c r="B19" s="2">
        <f t="shared" ref="B19:B42" si="4">B18+$C$14</f>
        <v>2.0106817467797676E-3</v>
      </c>
      <c r="C19" s="2">
        <f t="shared" si="1"/>
        <v>0.90482705246601947</v>
      </c>
      <c r="D19" s="2">
        <f t="shared" si="2"/>
        <v>-1.7745139646993677</v>
      </c>
      <c r="E19" s="2">
        <f t="shared" si="0"/>
        <v>-1.7745139646993677</v>
      </c>
      <c r="F19" s="28">
        <f t="shared" si="3"/>
        <v>-1.7745139646993677</v>
      </c>
      <c r="G19" s="28"/>
    </row>
    <row r="20" spans="2:20">
      <c r="B20" s="2">
        <f t="shared" si="4"/>
        <v>3.0160226201696515E-3</v>
      </c>
      <c r="C20" s="2">
        <f t="shared" si="1"/>
        <v>0.12533323356430409</v>
      </c>
      <c r="D20" s="2">
        <f t="shared" si="2"/>
        <v>-0.24579898732541211</v>
      </c>
      <c r="E20" s="2">
        <f t="shared" si="0"/>
        <v>-0.24579898732541211</v>
      </c>
      <c r="F20" s="28">
        <f t="shared" si="3"/>
        <v>-0.24579898732541211</v>
      </c>
      <c r="G20" s="28"/>
    </row>
    <row r="21" spans="2:20">
      <c r="B21" s="2">
        <f t="shared" si="4"/>
        <v>4.0213634935595353E-3</v>
      </c>
      <c r="C21" s="2">
        <f t="shared" si="1"/>
        <v>-0.77051324277578936</v>
      </c>
      <c r="D21" s="2">
        <f t="shared" si="2"/>
        <v>1.5111025975240506</v>
      </c>
      <c r="E21" s="2">
        <f t="shared" si="0"/>
        <v>1.5111025975240506</v>
      </c>
      <c r="F21" s="28">
        <f t="shared" si="3"/>
        <v>1.5111025975240506</v>
      </c>
      <c r="G21" s="28"/>
    </row>
    <row r="22" spans="2:20">
      <c r="B22" s="2">
        <f t="shared" si="4"/>
        <v>5.0267043669494187E-3</v>
      </c>
      <c r="C22" s="2">
        <f t="shared" si="1"/>
        <v>-0.95105651629515364</v>
      </c>
      <c r="D22" s="2">
        <f t="shared" si="2"/>
        <v>1.8651775107569097</v>
      </c>
      <c r="E22" s="2">
        <f t="shared" si="0"/>
        <v>1.8651775107569097</v>
      </c>
      <c r="F22" s="28">
        <f t="shared" si="3"/>
        <v>1.8651775107569097</v>
      </c>
      <c r="G22" s="28"/>
    </row>
    <row r="23" spans="2:20">
      <c r="B23" s="2">
        <f t="shared" si="4"/>
        <v>6.032045240339302E-3</v>
      </c>
      <c r="C23" s="2">
        <f t="shared" si="1"/>
        <v>-0.24868988716485535</v>
      </c>
      <c r="D23" s="2">
        <f t="shared" si="2"/>
        <v>0.48772157778750641</v>
      </c>
      <c r="E23" s="2">
        <f t="shared" si="0"/>
        <v>0.48772157778750641</v>
      </c>
      <c r="F23" s="28">
        <f t="shared" si="3"/>
        <v>0.48772157778750641</v>
      </c>
      <c r="G23" s="28"/>
    </row>
    <row r="24" spans="2:20">
      <c r="B24" s="2">
        <f t="shared" si="4"/>
        <v>7.0373861137291854E-3</v>
      </c>
      <c r="C24" s="2">
        <f t="shared" si="1"/>
        <v>0.68454710592868795</v>
      </c>
      <c r="D24" s="2">
        <f t="shared" si="2"/>
        <v>-1.3425089310209513</v>
      </c>
      <c r="E24" s="2">
        <f t="shared" si="0"/>
        <v>-1.3425089310209513</v>
      </c>
      <c r="F24" s="28">
        <f t="shared" si="3"/>
        <v>-1.3425089310209513</v>
      </c>
      <c r="G24" s="28"/>
    </row>
    <row r="25" spans="2:20">
      <c r="B25" s="2">
        <f t="shared" si="4"/>
        <v>8.0427269871190688E-3</v>
      </c>
      <c r="C25" s="2">
        <f t="shared" si="1"/>
        <v>0.98228725072868894</v>
      </c>
      <c r="D25" s="2">
        <f t="shared" si="2"/>
        <v>-1.9264260932667778</v>
      </c>
      <c r="E25" s="2">
        <f t="shared" si="0"/>
        <v>-1.9264260932667778</v>
      </c>
      <c r="F25" s="28">
        <f t="shared" si="3"/>
        <v>-1.9264260932667778</v>
      </c>
      <c r="G25" s="28"/>
    </row>
    <row r="26" spans="2:20">
      <c r="B26" s="2">
        <f t="shared" si="4"/>
        <v>9.0480678605089522E-3</v>
      </c>
      <c r="C26" s="2">
        <f t="shared" si="1"/>
        <v>0.36812455268467958</v>
      </c>
      <c r="D26" s="2">
        <f t="shared" si="2"/>
        <v>-0.72195250761714413</v>
      </c>
      <c r="E26" s="2">
        <f t="shared" si="0"/>
        <v>-0.72195250761714413</v>
      </c>
      <c r="F26" s="28">
        <f t="shared" si="3"/>
        <v>-0.72195250761714413</v>
      </c>
      <c r="G26" s="28"/>
    </row>
    <row r="27" spans="2:20">
      <c r="B27" s="2">
        <f t="shared" si="4"/>
        <v>1.0053408733898836E-2</v>
      </c>
      <c r="C27" s="2">
        <f t="shared" si="1"/>
        <v>-0.58778525229247136</v>
      </c>
      <c r="D27" s="2">
        <f t="shared" si="2"/>
        <v>1.1527430966996892</v>
      </c>
      <c r="E27" s="2">
        <f t="shared" si="0"/>
        <v>1.1527430966996892</v>
      </c>
      <c r="F27" s="28">
        <f t="shared" si="3"/>
        <v>1.1527430966996892</v>
      </c>
      <c r="G27" s="28"/>
    </row>
    <row r="28" spans="2:20">
      <c r="B28" s="2">
        <f t="shared" si="4"/>
        <v>1.1058749607288719E-2</v>
      </c>
      <c r="C28" s="2">
        <f t="shared" si="1"/>
        <v>-0.99802672842827167</v>
      </c>
      <c r="D28" s="2">
        <f t="shared" si="2"/>
        <v>1.957293785494661</v>
      </c>
      <c r="E28" s="2">
        <f t="shared" si="0"/>
        <v>1.957293785494661</v>
      </c>
      <c r="F28" s="28">
        <f t="shared" si="3"/>
        <v>1.957293785494661</v>
      </c>
      <c r="G28" s="28"/>
    </row>
    <row r="29" spans="2:20">
      <c r="B29" s="2">
        <f t="shared" si="4"/>
        <v>1.2064090480678602E-2</v>
      </c>
      <c r="C29" s="2">
        <f t="shared" si="1"/>
        <v>-0.48175367410171788</v>
      </c>
      <c r="D29" s="2">
        <f t="shared" si="2"/>
        <v>0.94479781512813599</v>
      </c>
      <c r="E29" s="2">
        <f t="shared" si="0"/>
        <v>0.94479781512813599</v>
      </c>
      <c r="F29" s="28">
        <f t="shared" si="3"/>
        <v>0.94479781512813599</v>
      </c>
      <c r="G29" s="28"/>
    </row>
    <row r="30" spans="2:20">
      <c r="B30" s="2">
        <f t="shared" si="4"/>
        <v>1.3069431354068486E-2</v>
      </c>
      <c r="C30" s="2">
        <f t="shared" si="1"/>
        <v>0.48175367410171233</v>
      </c>
      <c r="D30" s="2">
        <f t="shared" si="2"/>
        <v>-0.94479781512812511</v>
      </c>
      <c r="E30" s="2">
        <f t="shared" si="0"/>
        <v>-0.94479781512812511</v>
      </c>
      <c r="F30" s="28">
        <f t="shared" si="3"/>
        <v>-0.94479781512812511</v>
      </c>
      <c r="G30" s="28"/>
    </row>
    <row r="31" spans="2:20">
      <c r="B31" s="2">
        <f t="shared" si="4"/>
        <v>1.4074772227458369E-2</v>
      </c>
      <c r="C31" s="2">
        <f t="shared" si="1"/>
        <v>0.99802672842827123</v>
      </c>
      <c r="D31" s="2">
        <f t="shared" si="2"/>
        <v>-1.9572937854946602</v>
      </c>
      <c r="E31" s="2">
        <f t="shared" si="0"/>
        <v>-1.9572937854946602</v>
      </c>
      <c r="F31" s="28">
        <f t="shared" si="3"/>
        <v>-1.9572937854946602</v>
      </c>
      <c r="G31" s="28"/>
      <c r="T31" s="30" t="s">
        <v>222</v>
      </c>
    </row>
    <row r="32" spans="2:20">
      <c r="B32" s="2">
        <f t="shared" si="4"/>
        <v>1.5080113100848253E-2</v>
      </c>
      <c r="C32" s="2">
        <f t="shared" si="1"/>
        <v>0.58778525229247647</v>
      </c>
      <c r="D32" s="2">
        <f t="shared" si="2"/>
        <v>-1.1527430966996992</v>
      </c>
      <c r="E32" s="2">
        <f t="shared" si="0"/>
        <v>-1.1527430966996992</v>
      </c>
      <c r="F32" s="28">
        <f t="shared" si="3"/>
        <v>-1.1527430966996992</v>
      </c>
      <c r="G32" s="28"/>
    </row>
    <row r="33" spans="2:11">
      <c r="B33" s="2">
        <f t="shared" si="4"/>
        <v>1.6085453974238138E-2</v>
      </c>
      <c r="C33" s="2">
        <f t="shared" si="1"/>
        <v>-0.36812455268467542</v>
      </c>
      <c r="D33" s="2">
        <f t="shared" si="2"/>
        <v>0.72195250761713603</v>
      </c>
      <c r="E33" s="2">
        <f t="shared" si="0"/>
        <v>0.72195250761713603</v>
      </c>
      <c r="F33" s="28">
        <f t="shared" si="3"/>
        <v>0.72195250761713603</v>
      </c>
      <c r="G33" s="28"/>
    </row>
    <row r="34" spans="2:11">
      <c r="B34" s="2">
        <f t="shared" si="4"/>
        <v>1.7090794847628023E-2</v>
      </c>
      <c r="C34" s="2">
        <f t="shared" si="1"/>
        <v>-0.98228725072868839</v>
      </c>
      <c r="D34" s="2">
        <f t="shared" si="2"/>
        <v>1.9264260932667767</v>
      </c>
      <c r="E34" s="2">
        <f t="shared" si="0"/>
        <v>1.9264260932667767</v>
      </c>
      <c r="F34" s="28">
        <f t="shared" si="3"/>
        <v>1.9264260932667767</v>
      </c>
      <c r="G34" s="28"/>
    </row>
    <row r="35" spans="2:11">
      <c r="B35" s="2">
        <f t="shared" si="4"/>
        <v>1.8096135721017908E-2</v>
      </c>
      <c r="C35" s="2">
        <f t="shared" si="1"/>
        <v>-0.68454710592868862</v>
      </c>
      <c r="D35" s="2">
        <f t="shared" si="2"/>
        <v>1.3425089310209526</v>
      </c>
      <c r="E35" s="2">
        <f t="shared" si="0"/>
        <v>1.3425089310209526</v>
      </c>
      <c r="F35" s="28">
        <f t="shared" si="3"/>
        <v>1.3425089310209526</v>
      </c>
      <c r="G35" s="28"/>
    </row>
    <row r="36" spans="2:11">
      <c r="B36" s="2">
        <f t="shared" si="4"/>
        <v>1.9101476594407793E-2</v>
      </c>
      <c r="C36" s="2">
        <f t="shared" si="1"/>
        <v>0.24868988716485613</v>
      </c>
      <c r="D36" s="2">
        <f t="shared" si="2"/>
        <v>-0.48772157778750791</v>
      </c>
      <c r="E36" s="2">
        <f t="shared" si="0"/>
        <v>-0.48772157778750791</v>
      </c>
      <c r="F36" s="28">
        <f t="shared" si="3"/>
        <v>-0.48772157778750791</v>
      </c>
      <c r="G36" s="28"/>
      <c r="H36" s="6" t="s">
        <v>65</v>
      </c>
    </row>
    <row r="37" spans="2:11">
      <c r="B37" s="2">
        <f t="shared" si="4"/>
        <v>2.0106817467797678E-2</v>
      </c>
      <c r="C37" s="2">
        <f t="shared" si="1"/>
        <v>0.95105651629515442</v>
      </c>
      <c r="D37" s="2">
        <f t="shared" si="2"/>
        <v>-1.8651775107569111</v>
      </c>
      <c r="E37" s="2">
        <f t="shared" si="0"/>
        <v>-1.8651775107569111</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-1.5111025975240451</v>
      </c>
      <c r="E38" s="2">
        <f t="shared" si="0"/>
        <v>-1.5111025975240451</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0.24579898732542316</v>
      </c>
      <c r="E39" s="2">
        <f t="shared" si="0"/>
        <v>0.24579898732542316</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1.7745139646993735</v>
      </c>
      <c r="E40" s="2">
        <f t="shared" si="0"/>
        <v>1.7745139646993735</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1.6558652733752481</v>
      </c>
      <c r="E41" s="2">
        <f t="shared" si="0"/>
        <v>1.6558652733752481</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-1.8980185911077913E-14</v>
      </c>
      <c r="E42" s="2">
        <f t="shared" si="0"/>
        <v>-1.8980185911077913E-14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218</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Inv+Bias LPF</vt:lpstr>
      <vt:lpstr>Inv+Bias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2025-04-02T23:57:50Z</dcterms:modified>
</cp:coreProperties>
</file>